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91BFC165-F4FC-402C-B7BD-5D8C2C443B3D}" xr6:coauthVersionLast="45" xr6:coauthVersionMax="45" xr10:uidLastSave="{00000000-0000-0000-0000-000000000000}"/>
  <bookViews>
    <workbookView xWindow="-120" yWindow="-120" windowWidth="20730" windowHeight="11760" tabRatio="932" xr2:uid="{00000000-000D-0000-FFFF-FFFF00000000}"/>
  </bookViews>
  <sheets>
    <sheet name="Cover" sheetId="26" r:id="rId1"/>
    <sheet name="January" sheetId="4" r:id="rId2"/>
    <sheet name="February" sheetId="5" r:id="rId3"/>
    <sheet name="March" sheetId="17" r:id="rId4"/>
    <sheet name="April" sheetId="18" r:id="rId5"/>
    <sheet name="May" sheetId="19" r:id="rId6"/>
    <sheet name="June" sheetId="20" r:id="rId7"/>
    <sheet name="July" sheetId="21" r:id="rId8"/>
    <sheet name="August" sheetId="22" r:id="rId9"/>
    <sheet name="September" sheetId="23" r:id="rId10"/>
    <sheet name="October" sheetId="24" r:id="rId11"/>
    <sheet name="November" sheetId="25" r:id="rId12"/>
    <sheet name="December" sheetId="15" r:id="rId13"/>
    <sheet name="Employee names" sheetId="16" r:id="rId14"/>
  </sheets>
  <externalReferences>
    <externalReference r:id="rId15"/>
  </externalReferences>
  <definedNames>
    <definedName name="CalendarYear">January!$AH$6</definedName>
    <definedName name="ColumnTitle13">EmployeeName[[#Headers],[Employee Names]]</definedName>
    <definedName name="COMPANY_NAME">'[1]Monthly Budget Summary'!$B$1</definedName>
    <definedName name="Employee_Absence_Title">January!$B$1</definedName>
    <definedName name="Key_name">January!$B$4</definedName>
    <definedName name="KeyCustom1">January!$N$4</definedName>
    <definedName name="KeyCustom1Label">January!$O$4</definedName>
    <definedName name="KeyCustom2">January!$R$4</definedName>
    <definedName name="KeyCustom2Label">January!$S$4</definedName>
    <definedName name="KeyPersonal">January!$G$4</definedName>
    <definedName name="KeyPersonalLabel">January!$H$4</definedName>
    <definedName name="KeySick">January!$K$4</definedName>
    <definedName name="KeySickLabel">January!$L$4</definedName>
    <definedName name="KeyVacation">January!$C$4</definedName>
    <definedName name="KeyVacationLabel">January!$D$4</definedName>
    <definedName name="MonthName" localSheetId="4">April!$B$7</definedName>
    <definedName name="MonthName" localSheetId="8">August!$B$2</definedName>
    <definedName name="MonthName" localSheetId="12">December!$B$2</definedName>
    <definedName name="MonthName" localSheetId="2">February!$B$2</definedName>
    <definedName name="MonthName" localSheetId="1">January!$B$2</definedName>
    <definedName name="MonthName" localSheetId="7">July!$B$2</definedName>
    <definedName name="MonthName" localSheetId="6">June!$B$2</definedName>
    <definedName name="MonthName" localSheetId="3">March!$B$2</definedName>
    <definedName name="MonthName" localSheetId="5">May!$B$4</definedName>
    <definedName name="MonthName" localSheetId="11">November!$B$2</definedName>
    <definedName name="MonthName" localSheetId="10">October!$B$2</definedName>
    <definedName name="MonthName" localSheetId="9">September!$B$2</definedName>
    <definedName name="_xlnm.Print_Titles" localSheetId="4">April!$7:$9</definedName>
    <definedName name="_xlnm.Print_Titles" localSheetId="8">August!$6:$8</definedName>
    <definedName name="_xlnm.Print_Titles" localSheetId="12">December!$6:$8</definedName>
    <definedName name="_xlnm.Print_Titles" localSheetId="2">February!$6:$8</definedName>
    <definedName name="_xlnm.Print_Titles" localSheetId="1">January!$6:$8</definedName>
    <definedName name="_xlnm.Print_Titles" localSheetId="7">July!$7:$8</definedName>
    <definedName name="_xlnm.Print_Titles" localSheetId="6">June!$6:$8</definedName>
    <definedName name="_xlnm.Print_Titles" localSheetId="3">March!$6:$8</definedName>
    <definedName name="_xlnm.Print_Titles" localSheetId="5">May!$4:$6</definedName>
    <definedName name="_xlnm.Print_Titles" localSheetId="11">November!$6:$8</definedName>
    <definedName name="_xlnm.Print_Titles" localSheetId="10">October!$6:$8</definedName>
    <definedName name="_xlnm.Print_Titles" localSheetId="9">September!$6:$8</definedName>
    <definedName name="Title1" localSheetId="0">[1]!Top5Expenses[[#Headers],[ACTUAL EXPENSES]]</definedName>
    <definedName name="Title1">January[[#Headers],[Employee name]]</definedName>
    <definedName name="Title10">October[[#Headers],[Employee name]]</definedName>
    <definedName name="Title11">November[[#Headers],[Employee name]]</definedName>
    <definedName name="Title12">December[[#Headers],[Employee name]]</definedName>
    <definedName name="Title2" localSheetId="0">[1]!Income[[#Headers],[INCOME]]</definedName>
    <definedName name="Title2">February[[#Headers],[Employee name]]</definedName>
    <definedName name="Title3" localSheetId="0">[1]!PersonnelExpenses[[#Headers],[PERSONNEL EXPENSES]]</definedName>
    <definedName name="Title3">March[[#Headers],[Employee name]]</definedName>
    <definedName name="Title4" localSheetId="0">[1]!OperatingExpenses[[#Headers],[OPERATING EXPENSES]]</definedName>
    <definedName name="Title4">#REF!</definedName>
    <definedName name="Title5">#REF!</definedName>
    <definedName name="Title6">June[[#Headers],[Employee name]]</definedName>
    <definedName name="Title7">July[[#Headers],[Employee name]]</definedName>
    <definedName name="Title8">August[[#Headers],[Employee name]]</definedName>
    <definedName name="Title9">September[[#Headers],[Employee name]]</definedName>
  </definedNames>
  <calcPr calcId="191029"/>
</workbook>
</file>

<file path=xl/calcChain.xml><?xml version="1.0" encoding="utf-8"?>
<calcChain xmlns="http://schemas.openxmlformats.org/spreadsheetml/2006/main">
  <c r="AH6" i="4" l="1"/>
  <c r="AG7" i="4" l="1"/>
  <c r="AF7" i="4"/>
  <c r="AE7" i="4"/>
  <c r="AA7" i="4"/>
  <c r="Y7" i="4"/>
  <c r="V7" i="4"/>
  <c r="S7" i="4"/>
  <c r="R7" i="4"/>
  <c r="P7" i="4"/>
  <c r="M7" i="4"/>
  <c r="J7" i="4"/>
  <c r="G7" i="4"/>
  <c r="E7" i="4"/>
  <c r="N7" i="4"/>
  <c r="AD7" i="4"/>
  <c r="AC7" i="4"/>
  <c r="AB7" i="4"/>
  <c r="Z7" i="4"/>
  <c r="X7" i="4"/>
  <c r="W7" i="4"/>
  <c r="U7" i="4"/>
  <c r="T7" i="4"/>
  <c r="Q7" i="4"/>
  <c r="O7" i="4"/>
  <c r="L7" i="4"/>
  <c r="K7" i="4"/>
  <c r="H7" i="4"/>
  <c r="F7" i="4"/>
  <c r="D7" i="4"/>
  <c r="I7" i="4"/>
  <c r="C7" i="4"/>
  <c r="AG7" i="15" l="1"/>
  <c r="AF7" i="15"/>
  <c r="AE7" i="15"/>
  <c r="AD7" i="15"/>
  <c r="AC7" i="15"/>
  <c r="AB7" i="15"/>
  <c r="AA7" i="15"/>
  <c r="Z7" i="15"/>
  <c r="Y7" i="15"/>
  <c r="X7" i="15"/>
  <c r="W7" i="15"/>
  <c r="V7" i="15"/>
  <c r="U7" i="15"/>
  <c r="T7" i="15"/>
  <c r="S7" i="15"/>
  <c r="R7" i="15"/>
  <c r="Q7" i="15"/>
  <c r="P7" i="15"/>
  <c r="O7" i="15"/>
  <c r="N7" i="15"/>
  <c r="M7" i="15"/>
  <c r="L7" i="15"/>
  <c r="K7" i="15"/>
  <c r="J7" i="15"/>
  <c r="I7" i="15"/>
  <c r="H7" i="15"/>
  <c r="G7" i="15"/>
  <c r="F7" i="15"/>
  <c r="E7" i="15"/>
  <c r="D7" i="15"/>
  <c r="C7" i="15"/>
  <c r="AF7" i="25"/>
  <c r="AE7" i="25"/>
  <c r="AD7" i="25"/>
  <c r="AC7" i="25"/>
  <c r="AB7" i="25"/>
  <c r="AA7" i="25"/>
  <c r="Z7" i="25"/>
  <c r="Y7" i="25"/>
  <c r="X7" i="25"/>
  <c r="W7" i="25"/>
  <c r="V7" i="25"/>
  <c r="U7" i="25"/>
  <c r="T7" i="25"/>
  <c r="S7" i="25"/>
  <c r="R7" i="25"/>
  <c r="Q7" i="25"/>
  <c r="P7" i="25"/>
  <c r="O7" i="25"/>
  <c r="N7" i="25"/>
  <c r="M7" i="25"/>
  <c r="L7" i="25"/>
  <c r="K7" i="25"/>
  <c r="J7" i="25"/>
  <c r="I7" i="25"/>
  <c r="H7" i="25"/>
  <c r="G7" i="25"/>
  <c r="F7" i="25"/>
  <c r="E7" i="25"/>
  <c r="D7" i="25"/>
  <c r="C7" i="25"/>
  <c r="AG7" i="24"/>
  <c r="AF7" i="24"/>
  <c r="AE7" i="24"/>
  <c r="AD7" i="24"/>
  <c r="AC7" i="24"/>
  <c r="AB7" i="24"/>
  <c r="AA7" i="24"/>
  <c r="Z7" i="24"/>
  <c r="Y7" i="24"/>
  <c r="X7" i="24"/>
  <c r="W7" i="24"/>
  <c r="V7" i="24"/>
  <c r="U7" i="24"/>
  <c r="T7" i="24"/>
  <c r="S7" i="24"/>
  <c r="R7" i="24"/>
  <c r="Q7" i="24"/>
  <c r="P7" i="24"/>
  <c r="O7" i="24"/>
  <c r="N7" i="24"/>
  <c r="M7" i="24"/>
  <c r="L7" i="24"/>
  <c r="K7" i="24"/>
  <c r="J7" i="24"/>
  <c r="I7" i="24"/>
  <c r="H7" i="24"/>
  <c r="G7" i="24"/>
  <c r="F7" i="24"/>
  <c r="E7" i="24"/>
  <c r="D7" i="24"/>
  <c r="C7" i="24"/>
  <c r="AF7" i="23"/>
  <c r="AE7" i="23"/>
  <c r="AD7" i="23"/>
  <c r="AC7" i="23"/>
  <c r="AB7" i="23"/>
  <c r="AA7" i="23"/>
  <c r="Z7" i="23"/>
  <c r="Y7" i="23"/>
  <c r="X7" i="23"/>
  <c r="W7" i="23"/>
  <c r="V7" i="23"/>
  <c r="U7" i="23"/>
  <c r="T7" i="23"/>
  <c r="S7" i="23"/>
  <c r="R7" i="23"/>
  <c r="Q7" i="23"/>
  <c r="P7" i="23"/>
  <c r="O7" i="23"/>
  <c r="N7" i="23"/>
  <c r="M7" i="23"/>
  <c r="L7" i="23"/>
  <c r="K7" i="23"/>
  <c r="J7" i="23"/>
  <c r="I7" i="23"/>
  <c r="H7" i="23"/>
  <c r="G7" i="23"/>
  <c r="F7" i="23"/>
  <c r="E7" i="23"/>
  <c r="D7" i="23"/>
  <c r="C7" i="23"/>
  <c r="AG7" i="22"/>
  <c r="AF7" i="22"/>
  <c r="AE7" i="22"/>
  <c r="AD7" i="22"/>
  <c r="AC7" i="22"/>
  <c r="AB7" i="22"/>
  <c r="AA7" i="22"/>
  <c r="Z7" i="22"/>
  <c r="Y7" i="22"/>
  <c r="X7" i="22"/>
  <c r="W7" i="22"/>
  <c r="V7" i="22"/>
  <c r="U7" i="22"/>
  <c r="T7" i="22"/>
  <c r="S7" i="22"/>
  <c r="R7" i="22"/>
  <c r="Q7" i="22"/>
  <c r="P7" i="22"/>
  <c r="O7" i="22"/>
  <c r="N7" i="22"/>
  <c r="M7" i="22"/>
  <c r="L7" i="22"/>
  <c r="K7" i="22"/>
  <c r="J7" i="22"/>
  <c r="I7" i="22"/>
  <c r="H7" i="22"/>
  <c r="G7" i="22"/>
  <c r="F7" i="22"/>
  <c r="E7" i="22"/>
  <c r="D7" i="22"/>
  <c r="C7" i="22"/>
  <c r="AG7" i="21"/>
  <c r="AF7" i="21"/>
  <c r="AE7" i="21"/>
  <c r="AD7" i="21"/>
  <c r="AC7" i="21"/>
  <c r="AB7" i="21"/>
  <c r="AA7" i="21"/>
  <c r="Z7" i="21"/>
  <c r="Y7" i="21"/>
  <c r="X7" i="21"/>
  <c r="W7" i="21"/>
  <c r="V7" i="21"/>
  <c r="U7" i="21"/>
  <c r="T7" i="21"/>
  <c r="S7" i="21"/>
  <c r="R7" i="21"/>
  <c r="Q7" i="21"/>
  <c r="P7" i="21"/>
  <c r="O7" i="21"/>
  <c r="N7" i="21"/>
  <c r="M7" i="21"/>
  <c r="L7" i="21"/>
  <c r="K7" i="21"/>
  <c r="J7" i="21"/>
  <c r="I7" i="21"/>
  <c r="H7" i="21"/>
  <c r="G7" i="21"/>
  <c r="F7" i="21"/>
  <c r="E7" i="21"/>
  <c r="D7" i="21"/>
  <c r="C7" i="21"/>
  <c r="AF7" i="20"/>
  <c r="AE7" i="20"/>
  <c r="AD7" i="20"/>
  <c r="AC7" i="20"/>
  <c r="AB7" i="20"/>
  <c r="AA7" i="20"/>
  <c r="Z7" i="20"/>
  <c r="Y7" i="20"/>
  <c r="X7" i="20"/>
  <c r="W7" i="20"/>
  <c r="V7" i="20"/>
  <c r="U7" i="20"/>
  <c r="T7" i="20"/>
  <c r="S7" i="20"/>
  <c r="R7" i="20"/>
  <c r="Q7" i="20"/>
  <c r="P7" i="20"/>
  <c r="O7" i="20"/>
  <c r="N7" i="20"/>
  <c r="M7" i="20"/>
  <c r="L7" i="20"/>
  <c r="K7" i="20"/>
  <c r="J7" i="20"/>
  <c r="I7" i="20"/>
  <c r="H7" i="20"/>
  <c r="G7" i="20"/>
  <c r="F7" i="20"/>
  <c r="E7" i="20"/>
  <c r="D7" i="20"/>
  <c r="C7" i="20"/>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AG7" i="17"/>
  <c r="AF7" i="17"/>
  <c r="AE7"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AE7" i="5" l="1"/>
  <c r="AD7" i="5"/>
  <c r="AC7" i="5"/>
  <c r="AB7" i="5"/>
  <c r="AA7" i="5"/>
  <c r="Z7" i="5"/>
  <c r="Y7" i="5"/>
  <c r="X7" i="5"/>
  <c r="W7" i="5"/>
  <c r="V7" i="5"/>
  <c r="U7" i="5"/>
  <c r="T7" i="5"/>
  <c r="S7" i="5"/>
  <c r="R7" i="5"/>
  <c r="Q7" i="5"/>
  <c r="P7" i="5"/>
  <c r="O7" i="5"/>
  <c r="N7" i="5"/>
  <c r="M7" i="5"/>
  <c r="L7" i="5"/>
  <c r="K7" i="5"/>
  <c r="J7" i="5"/>
  <c r="I7" i="5"/>
  <c r="H7" i="5"/>
  <c r="G7" i="5"/>
  <c r="F7" i="5"/>
  <c r="E7" i="5"/>
  <c r="D7" i="5"/>
  <c r="C7" i="5"/>
  <c r="AH6" i="15" l="1"/>
  <c r="AH6" i="25"/>
  <c r="AH6" i="24"/>
  <c r="AH6" i="23"/>
  <c r="AH6" i="22"/>
  <c r="AH6" i="21"/>
  <c r="B14" i="19"/>
  <c r="AH6" i="20"/>
  <c r="B14" i="18"/>
  <c r="B14" i="4"/>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AH13" i="19"/>
  <c r="AH12" i="19"/>
  <c r="AH11" i="19"/>
  <c r="AH10" i="19"/>
  <c r="AH9" i="19"/>
  <c r="AH6" i="19"/>
  <c r="AG14" i="18"/>
  <c r="AF14" i="18"/>
  <c r="AE14" i="18"/>
  <c r="AD14" i="18"/>
  <c r="AC14" i="18"/>
  <c r="AB14" i="18"/>
  <c r="AA14" i="18"/>
  <c r="Z14" i="18"/>
  <c r="Y14" i="18"/>
  <c r="X14" i="18"/>
  <c r="W14" i="18"/>
  <c r="V14" i="18"/>
  <c r="U14" i="18"/>
  <c r="T14" i="18"/>
  <c r="S14" i="18"/>
  <c r="R14" i="18"/>
  <c r="Q14" i="18"/>
  <c r="P14" i="18"/>
  <c r="O14" i="18"/>
  <c r="N14" i="18"/>
  <c r="M14" i="18"/>
  <c r="L14" i="18"/>
  <c r="K14" i="18"/>
  <c r="J14" i="18"/>
  <c r="I14" i="18"/>
  <c r="H14" i="18"/>
  <c r="G14" i="18"/>
  <c r="F14" i="18"/>
  <c r="E14" i="18"/>
  <c r="D14" i="18"/>
  <c r="C14" i="18"/>
  <c r="AH13" i="18"/>
  <c r="AH12" i="18"/>
  <c r="AH11" i="18"/>
  <c r="AH10" i="18"/>
  <c r="AH9" i="18"/>
  <c r="AH14" i="18" s="1"/>
  <c r="AH6" i="18"/>
  <c r="AH6" i="17"/>
  <c r="B14" i="5"/>
  <c r="AH11" i="4"/>
  <c r="AH12" i="4"/>
  <c r="AH14" i="19" l="1"/>
  <c r="B14" i="23"/>
  <c r="AG14" i="25"/>
  <c r="AF14" i="25"/>
  <c r="AE14" i="25"/>
  <c r="AD14" i="25"/>
  <c r="AC14" i="25"/>
  <c r="AB14" i="25"/>
  <c r="AA14" i="25"/>
  <c r="Z14" i="25"/>
  <c r="Y14" i="25"/>
  <c r="X14" i="25"/>
  <c r="W14" i="25"/>
  <c r="V14" i="25"/>
  <c r="U14" i="25"/>
  <c r="T14" i="25"/>
  <c r="S14" i="25"/>
  <c r="R14" i="25"/>
  <c r="Q14" i="25"/>
  <c r="P14" i="25"/>
  <c r="O14" i="25"/>
  <c r="N14" i="25"/>
  <c r="M14" i="25"/>
  <c r="L14" i="25"/>
  <c r="K14" i="25"/>
  <c r="J14" i="25"/>
  <c r="I14" i="25"/>
  <c r="H14" i="25"/>
  <c r="G14" i="25"/>
  <c r="F14" i="25"/>
  <c r="E14" i="25"/>
  <c r="D14" i="25"/>
  <c r="C14" i="25"/>
  <c r="B14" i="25"/>
  <c r="AH13" i="25"/>
  <c r="AH12" i="25"/>
  <c r="AH11" i="25"/>
  <c r="AH10" i="25"/>
  <c r="AH9" i="25"/>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F14" i="24"/>
  <c r="E14" i="24"/>
  <c r="D14" i="24"/>
  <c r="C14" i="24"/>
  <c r="B14" i="24"/>
  <c r="AH13" i="24"/>
  <c r="AH12" i="24"/>
  <c r="AH11" i="24"/>
  <c r="AH10" i="24"/>
  <c r="AH9" i="24"/>
  <c r="AG14" i="23"/>
  <c r="AF14" i="23"/>
  <c r="AE14" i="23"/>
  <c r="AD14" i="23"/>
  <c r="AC14" i="23"/>
  <c r="AB14" i="23"/>
  <c r="AA14" i="23"/>
  <c r="Z14" i="23"/>
  <c r="Y14" i="23"/>
  <c r="X14" i="23"/>
  <c r="W14" i="23"/>
  <c r="V14" i="23"/>
  <c r="U14" i="23"/>
  <c r="T14" i="23"/>
  <c r="S14" i="23"/>
  <c r="R14" i="23"/>
  <c r="Q14" i="23"/>
  <c r="P14" i="23"/>
  <c r="O14" i="23"/>
  <c r="N14" i="23"/>
  <c r="M14" i="23"/>
  <c r="L14" i="23"/>
  <c r="K14" i="23"/>
  <c r="J14" i="23"/>
  <c r="I14" i="23"/>
  <c r="H14" i="23"/>
  <c r="G14" i="23"/>
  <c r="F14" i="23"/>
  <c r="E14" i="23"/>
  <c r="D14" i="23"/>
  <c r="C14" i="23"/>
  <c r="AH13" i="23"/>
  <c r="AH12" i="23"/>
  <c r="AH11" i="23"/>
  <c r="AH10" i="23"/>
  <c r="AH9" i="23"/>
  <c r="AG14" i="22"/>
  <c r="AF14" i="22"/>
  <c r="AE14" i="22"/>
  <c r="AD14" i="22"/>
  <c r="AC14" i="22"/>
  <c r="AB14" i="22"/>
  <c r="AA14" i="22"/>
  <c r="Z14" i="22"/>
  <c r="Y14" i="22"/>
  <c r="X14" i="22"/>
  <c r="W14" i="22"/>
  <c r="V14" i="22"/>
  <c r="U14" i="22"/>
  <c r="T14" i="22"/>
  <c r="S14" i="22"/>
  <c r="R14" i="22"/>
  <c r="Q14" i="22"/>
  <c r="P14" i="22"/>
  <c r="O14" i="22"/>
  <c r="N14" i="22"/>
  <c r="M14" i="22"/>
  <c r="L14" i="22"/>
  <c r="K14" i="22"/>
  <c r="J14" i="22"/>
  <c r="I14" i="22"/>
  <c r="H14" i="22"/>
  <c r="G14" i="22"/>
  <c r="F14" i="22"/>
  <c r="E14" i="22"/>
  <c r="D14" i="22"/>
  <c r="C14" i="22"/>
  <c r="B14" i="22"/>
  <c r="AH13" i="22"/>
  <c r="AH12" i="22"/>
  <c r="AH11" i="22"/>
  <c r="AH10" i="22"/>
  <c r="AH9" i="22"/>
  <c r="AG14" i="21"/>
  <c r="AF14" i="21"/>
  <c r="AE14" i="21"/>
  <c r="AD14" i="21"/>
  <c r="AC14" i="21"/>
  <c r="AB14" i="21"/>
  <c r="AA14" i="21"/>
  <c r="Z14" i="21"/>
  <c r="Y14" i="21"/>
  <c r="X14" i="21"/>
  <c r="W14" i="21"/>
  <c r="V14" i="21"/>
  <c r="U14" i="21"/>
  <c r="T14" i="21"/>
  <c r="S14" i="21"/>
  <c r="R14" i="21"/>
  <c r="Q14" i="21"/>
  <c r="P14" i="21"/>
  <c r="O14" i="21"/>
  <c r="N14" i="21"/>
  <c r="M14" i="21"/>
  <c r="L14" i="21"/>
  <c r="K14" i="21"/>
  <c r="J14" i="21"/>
  <c r="I14" i="21"/>
  <c r="H14" i="21"/>
  <c r="G14" i="21"/>
  <c r="F14" i="21"/>
  <c r="E14" i="21"/>
  <c r="D14" i="21"/>
  <c r="C14" i="21"/>
  <c r="B14" i="21"/>
  <c r="AH13" i="21"/>
  <c r="AH12" i="21"/>
  <c r="AH11" i="21"/>
  <c r="AH10" i="21"/>
  <c r="AH9" i="21"/>
  <c r="AG14" i="20"/>
  <c r="AF14" i="20"/>
  <c r="AE14" i="20"/>
  <c r="AD14" i="20"/>
  <c r="AC14" i="20"/>
  <c r="AB14" i="20"/>
  <c r="AA14" i="20"/>
  <c r="Z14" i="20"/>
  <c r="Y14" i="20"/>
  <c r="X14" i="20"/>
  <c r="W14" i="20"/>
  <c r="V14" i="20"/>
  <c r="U14" i="20"/>
  <c r="T14" i="20"/>
  <c r="S14" i="20"/>
  <c r="R14" i="20"/>
  <c r="Q14" i="20"/>
  <c r="P14" i="20"/>
  <c r="O14" i="20"/>
  <c r="N14" i="20"/>
  <c r="M14" i="20"/>
  <c r="L14" i="20"/>
  <c r="K14" i="20"/>
  <c r="J14" i="20"/>
  <c r="I14" i="20"/>
  <c r="H14" i="20"/>
  <c r="G14" i="20"/>
  <c r="F14" i="20"/>
  <c r="E14" i="20"/>
  <c r="D14" i="20"/>
  <c r="C14" i="20"/>
  <c r="B14" i="20"/>
  <c r="AH13" i="20"/>
  <c r="AH12" i="20"/>
  <c r="AH11" i="20"/>
  <c r="AH10" i="20"/>
  <c r="AH9" i="20"/>
  <c r="AG14" i="17"/>
  <c r="AF14" i="17"/>
  <c r="AE14" i="17"/>
  <c r="AD14" i="17"/>
  <c r="AC14" i="17"/>
  <c r="AB14" i="17"/>
  <c r="AA14" i="17"/>
  <c r="Z14" i="17"/>
  <c r="Y14" i="17"/>
  <c r="X14" i="17"/>
  <c r="W14" i="17"/>
  <c r="V14" i="17"/>
  <c r="U14" i="17"/>
  <c r="T14" i="17"/>
  <c r="S14" i="17"/>
  <c r="R14" i="17"/>
  <c r="Q14" i="17"/>
  <c r="P14" i="17"/>
  <c r="O14" i="17"/>
  <c r="N14" i="17"/>
  <c r="M14" i="17"/>
  <c r="L14" i="17"/>
  <c r="K14" i="17"/>
  <c r="J14" i="17"/>
  <c r="I14" i="17"/>
  <c r="H14" i="17"/>
  <c r="G14" i="17"/>
  <c r="F14" i="17"/>
  <c r="E14" i="17"/>
  <c r="D14" i="17"/>
  <c r="C14" i="17"/>
  <c r="B14" i="17"/>
  <c r="AH13" i="17"/>
  <c r="AH12" i="17"/>
  <c r="AH11" i="17"/>
  <c r="AH10" i="17"/>
  <c r="AH9" i="17"/>
  <c r="AH14" i="23" l="1"/>
  <c r="AH14" i="17"/>
  <c r="AH14" i="21"/>
  <c r="AH14" i="22"/>
  <c r="AH14" i="25"/>
  <c r="AH14" i="20"/>
  <c r="AH14" i="24"/>
  <c r="AH6" i="5" l="1"/>
  <c r="C14" i="4" l="1"/>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G14" i="15" l="1"/>
  <c r="AF14" i="15"/>
  <c r="AH9" i="15"/>
  <c r="AH10" i="15"/>
  <c r="AH11" i="15"/>
  <c r="AH12" i="15"/>
  <c r="AH13" i="15"/>
  <c r="AH14" i="15" l="1"/>
  <c r="C14" i="15"/>
  <c r="D14" i="15"/>
  <c r="E14" i="15"/>
  <c r="F14" i="15"/>
  <c r="G14" i="15"/>
  <c r="H14" i="15"/>
  <c r="I14" i="15"/>
  <c r="J14" i="15"/>
  <c r="K14" i="15"/>
  <c r="L14" i="15"/>
  <c r="M14" i="15"/>
  <c r="N14" i="15"/>
  <c r="O14" i="15"/>
  <c r="P14" i="15"/>
  <c r="Q14" i="15"/>
  <c r="R14" i="15"/>
  <c r="S14" i="15"/>
  <c r="T14" i="15"/>
  <c r="U14" i="15"/>
  <c r="V14" i="15"/>
  <c r="W14" i="15"/>
  <c r="X14" i="15"/>
  <c r="Y14" i="15"/>
  <c r="Z14" i="15"/>
  <c r="AA14" i="15"/>
  <c r="AB14" i="15"/>
  <c r="AC14" i="15"/>
  <c r="AD14" i="15"/>
  <c r="AE14" i="15"/>
  <c r="B14" i="15" l="1"/>
  <c r="AH13" i="5" l="1"/>
  <c r="AH12" i="5"/>
  <c r="AH11" i="5"/>
  <c r="AH13" i="4"/>
  <c r="AE14" i="5"/>
  <c r="AD14" i="5"/>
  <c r="AC14" i="5"/>
  <c r="AB14" i="5"/>
  <c r="AA14" i="5"/>
  <c r="Z14" i="5"/>
  <c r="Y14" i="5"/>
  <c r="X14" i="5"/>
  <c r="W14" i="5"/>
  <c r="V14" i="5"/>
  <c r="U14" i="5"/>
  <c r="T14" i="5"/>
  <c r="S14" i="5"/>
  <c r="R14" i="5"/>
  <c r="Q14" i="5"/>
  <c r="P14" i="5"/>
  <c r="O14" i="5"/>
  <c r="N14" i="5"/>
  <c r="M14" i="5"/>
  <c r="L14" i="5"/>
  <c r="K14" i="5"/>
  <c r="J14" i="5"/>
  <c r="I14" i="5"/>
  <c r="H14" i="5"/>
  <c r="G14" i="5"/>
  <c r="F14" i="5"/>
  <c r="E14" i="5"/>
  <c r="D14" i="5"/>
  <c r="C14" i="5"/>
  <c r="AH10" i="5"/>
  <c r="AH9" i="5"/>
  <c r="AH14" i="5" l="1"/>
  <c r="AH9" i="4"/>
  <c r="AH10" i="4"/>
  <c r="AH14" i="4" l="1"/>
</calcChain>
</file>

<file path=xl/sharedStrings.xml><?xml version="1.0" encoding="utf-8"?>
<sst xmlns="http://schemas.openxmlformats.org/spreadsheetml/2006/main" count="656" uniqueCount="68">
  <si>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</si>
  <si>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</si>
  <si>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</si>
  <si>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</si>
  <si>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</si>
  <si>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</si>
  <si>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</si>
  <si>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</si>
  <si>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</si>
  <si>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</si>
  <si>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</si>
  <si>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</si>
  <si>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</si>
  <si>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</si>
  <si>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</si>
  <si>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</si>
  <si>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</si>
  <si>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</si>
  <si>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</si>
  <si>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</si>
  <si>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</si>
  <si>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</si>
  <si>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</si>
  <si>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</si>
  <si>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</si>
  <si>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</si>
  <si>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</si>
  <si>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</si>
  <si>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</si>
  <si>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</si>
  <si>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</si>
  <si>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S</t>
  </si>
  <si>
    <t>V</t>
  </si>
  <si>
    <t xml:space="preserve"> </t>
  </si>
  <si>
    <t xml:space="preserve">  </t>
  </si>
  <si>
    <t>P</t>
  </si>
  <si>
    <t>January</t>
  </si>
  <si>
    <t>Vacation</t>
  </si>
  <si>
    <t>Personal</t>
  </si>
  <si>
    <t>Sick</t>
  </si>
  <si>
    <t>Custom 1</t>
  </si>
  <si>
    <t>Custom 2</t>
  </si>
  <si>
    <t>February</t>
  </si>
  <si>
    <t>March</t>
  </si>
  <si>
    <t>April</t>
  </si>
  <si>
    <t>May</t>
  </si>
  <si>
    <t>June</t>
  </si>
  <si>
    <t>July</t>
  </si>
  <si>
    <t>August</t>
  </si>
  <si>
    <t>September</t>
  </si>
  <si>
    <t>October</t>
  </si>
  <si>
    <t>November</t>
  </si>
  <si>
    <t>December</t>
  </si>
  <si>
    <t>Employee Names</t>
  </si>
  <si>
    <t>Employee absence schedule</t>
  </si>
  <si>
    <t>Absence type key</t>
  </si>
  <si>
    <t>Dates of absence</t>
  </si>
  <si>
    <t>Harsimran Brar</t>
  </si>
  <si>
    <t>Jordan Mitchell</t>
  </si>
  <si>
    <t>Asaf Karten</t>
  </si>
  <si>
    <t>Vanja Jovanovic</t>
  </si>
  <si>
    <t>Madison Butler</t>
  </si>
  <si>
    <t>Employee name</t>
  </si>
  <si>
    <t>Total days</t>
  </si>
  <si>
    <t>Employee names</t>
  </si>
  <si>
    <t>https://bricsafricaconsulting.com/</t>
  </si>
  <si>
    <r>
      <rPr>
        <b/>
        <i/>
        <sz val="11"/>
        <color theme="1"/>
        <rFont val="Calibri"/>
        <family val="1"/>
        <scheme val="major"/>
      </rPr>
      <t>Email</t>
    </r>
    <r>
      <rPr>
        <i/>
        <sz val="11"/>
        <color theme="1"/>
        <rFont val="Calibri"/>
        <family val="1"/>
        <scheme val="major"/>
      </rPr>
      <t xml:space="preserve"> : bd@bricsafricaconsulting.com
</t>
    </r>
    <r>
      <rPr>
        <b/>
        <i/>
        <sz val="11"/>
        <color theme="1"/>
        <rFont val="Calibri"/>
        <family val="1"/>
        <scheme val="major"/>
      </rPr>
      <t>CONTACT US</t>
    </r>
    <r>
      <rPr>
        <i/>
        <sz val="11"/>
        <color theme="1"/>
        <rFont val="Calibri"/>
        <family val="1"/>
        <scheme val="major"/>
      </rPr>
      <t xml:space="preserve"> : +233 55 527 9343
+233 20 962 5256
</t>
    </r>
  </si>
  <si>
    <r>
      <t xml:space="preserve">
BRICS AFRICA CONSULTING
EMPLOYEE ABSENCE SCHEDULE SAMPLE
</t>
    </r>
    <r>
      <rPr>
        <sz val="11"/>
        <color theme="1"/>
        <rFont val="Calibri"/>
        <family val="1"/>
        <scheme val="major"/>
      </rPr>
      <t>This is a sample template that outlines how a company or business can track the regularity of employees on a monthly and weekly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</si>
</sst>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5" x14ac:knownFonts="1">
    <font>
      <sz val="11"/>
      <color theme="0"/>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b/>
      <sz val="26"/>
      <color theme="3" tint="-0.24994659260841701"/>
      <name val="Calibri"/>
      <family val="2"/>
      <scheme val="major"/>
    </font>
    <font>
      <b/>
      <sz val="18"/>
      <color theme="4" tint="-0.24994659260841701"/>
      <name val="Calibri"/>
      <family val="2"/>
      <scheme val="minor"/>
    </font>
    <font>
      <b/>
      <sz val="26"/>
      <color theme="3"/>
      <name val="Calibri"/>
      <family val="2"/>
      <scheme val="minor"/>
    </font>
    <font>
      <sz val="11"/>
      <color theme="4" tint="-0.499984740745262"/>
      <name val="Calibri"/>
      <family val="2"/>
      <scheme val="minor"/>
    </font>
    <font>
      <sz val="11"/>
      <color rgb="FF000000"/>
      <name val="Calibri"/>
      <family val="2"/>
      <scheme val="minor"/>
    </font>
    <font>
      <b/>
      <sz val="18"/>
      <color theme="3"/>
      <name val="Calibri"/>
      <family val="2"/>
      <scheme val="minor"/>
    </font>
    <font>
      <b/>
      <sz val="11"/>
      <color theme="0"/>
      <name val="Calibri"/>
      <family val="2"/>
      <scheme val="minor"/>
    </font>
    <font>
      <sz val="8"/>
      <name val="Calibri"/>
      <family val="2"/>
      <scheme val="minor"/>
    </font>
    <font>
      <b/>
      <sz val="18"/>
      <color theme="4" tint="9.9948118533890809E-2"/>
      <name val="Calibri"/>
      <family val="2"/>
      <scheme val="minor"/>
    </font>
    <font>
      <b/>
      <sz val="11"/>
      <name val="Calibri"/>
      <family val="2"/>
      <scheme val="minor"/>
    </font>
    <font>
      <u/>
      <sz val="11"/>
      <color theme="10"/>
      <name val="Calibri"/>
      <family val="2"/>
      <scheme val="minor"/>
    </font>
    <font>
      <b/>
      <sz val="16"/>
      <color theme="1"/>
      <name val="Calibri"/>
      <family val="2"/>
      <scheme val="minor"/>
    </font>
    <font>
      <b/>
      <sz val="16"/>
      <color theme="1"/>
      <name val="Calibri"/>
      <family val="1"/>
      <scheme val="major"/>
    </font>
    <font>
      <sz val="11"/>
      <color theme="1"/>
      <name val="Calibri"/>
      <family val="1"/>
      <scheme val="major"/>
    </font>
    <font>
      <sz val="11"/>
      <color theme="1" tint="0.24994659260841701"/>
      <name val="Calibri"/>
      <family val="2"/>
      <scheme val="minor"/>
    </font>
    <font>
      <i/>
      <sz val="11"/>
      <color theme="1"/>
      <name val="Calibri"/>
      <family val="1"/>
      <scheme val="major"/>
    </font>
    <font>
      <b/>
      <i/>
      <sz val="11"/>
      <color theme="1"/>
      <name val="Calibri"/>
      <family val="1"/>
      <scheme val="major"/>
    </font>
    <font>
      <i/>
      <u/>
      <sz val="11"/>
      <color rgb="FF0070C0"/>
      <name val="Calibri"/>
      <family val="1"/>
      <scheme val="major"/>
    </font>
    <font>
      <b/>
      <sz val="72"/>
      <color theme="1"/>
      <name val="Calibri"/>
      <family val="2"/>
      <scheme val="minor"/>
    </font>
  </fonts>
  <fills count="24">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7" tint="0.79998168889431442"/>
        <bgColor indexed="65"/>
      </patternFill>
    </fill>
    <fill>
      <patternFill patternType="solid">
        <fgColor theme="7" tint="0.39997558519241921"/>
        <bgColor indexed="65"/>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39994506668294322"/>
        <bgColor indexed="64"/>
      </patternFill>
    </fill>
    <fill>
      <patternFill patternType="solid">
        <fgColor theme="7" tint="0.59996337778862885"/>
        <bgColor indexed="64"/>
      </patternFill>
    </fill>
    <fill>
      <patternFill patternType="solid">
        <fgColor theme="5" tint="0.59999389629810485"/>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59999389629810485"/>
        <bgColor indexed="65"/>
      </patternFill>
    </fill>
    <fill>
      <patternFill patternType="solid">
        <fgColor theme="4" tint="0.39994506668294322"/>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rgb="FFF8E3E0"/>
        <bgColor indexed="64"/>
      </patternFill>
    </fill>
    <fill>
      <patternFill patternType="solid">
        <fgColor theme="5" tint="0.39994506668294322"/>
        <bgColor indexed="64"/>
      </patternFill>
    </fill>
    <fill>
      <patternFill patternType="solid">
        <fgColor theme="6" tint="0.59996337778862885"/>
        <bgColor indexed="64"/>
      </patternFill>
    </fill>
    <fill>
      <patternFill patternType="solid">
        <fgColor theme="0"/>
        <bgColor indexed="64"/>
      </patternFill>
    </fill>
    <fill>
      <patternFill patternType="solid">
        <fgColor theme="5"/>
        <bgColor indexed="64"/>
      </patternFill>
    </fill>
    <fill>
      <patternFill patternType="solid">
        <fgColor theme="0" tint="-4.9989318521683403E-2"/>
        <bgColor indexed="64"/>
      </patternFill>
    </fill>
  </fills>
  <borders count="19">
    <border>
      <left/>
      <right/>
      <top/>
      <bottom/>
      <diagonal/>
    </border>
    <border>
      <left/>
      <right/>
      <top/>
      <bottom style="thin">
        <color theme="4"/>
      </bottom>
      <diagonal/>
    </border>
    <border>
      <left/>
      <right/>
      <top style="thin">
        <color theme="4"/>
      </top>
      <bottom/>
      <diagonal/>
    </border>
    <border>
      <left/>
      <right/>
      <top style="thin">
        <color auto="1"/>
      </top>
      <bottom/>
      <diagonal/>
    </border>
    <border>
      <left/>
      <right/>
      <top/>
      <bottom style="thin">
        <color auto="1"/>
      </bottom>
      <diagonal/>
    </border>
    <border>
      <left style="thin">
        <color theme="0"/>
      </left>
      <right/>
      <top style="thin">
        <color theme="0"/>
      </top>
      <bottom/>
      <diagonal/>
    </border>
    <border>
      <left/>
      <right/>
      <top style="thin">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s>
  <cellStyleXfs count="31">
    <xf numFmtId="0" fontId="0" fillId="0" borderId="0">
      <alignment horizontal="left" vertical="center"/>
    </xf>
    <xf numFmtId="0" fontId="8" fillId="0" borderId="0" applyNumberFormat="0" applyFill="0" applyBorder="0" applyProtection="0">
      <alignment vertical="top"/>
    </xf>
    <xf numFmtId="0" fontId="6" fillId="0" borderId="0" applyNumberFormat="0" applyFill="0" applyBorder="0" applyProtection="0">
      <alignment vertical="top"/>
    </xf>
    <xf numFmtId="0" fontId="7" fillId="2" borderId="0" applyNumberFormat="0" applyBorder="0" applyProtection="0">
      <alignment horizontal="center" vertical="center"/>
    </xf>
    <xf numFmtId="0" fontId="3" fillId="20" borderId="0" applyNumberFormat="0" applyProtection="0">
      <alignment horizontal="right" vertical="center" indent="1"/>
    </xf>
    <xf numFmtId="0" fontId="4" fillId="0" borderId="0" applyNumberFormat="0" applyFill="0" applyBorder="0" applyProtection="0">
      <alignment horizontal="left" vertical="center" indent="2"/>
    </xf>
    <xf numFmtId="0" fontId="5" fillId="3" borderId="0" applyNumberFormat="0" applyBorder="0" applyAlignment="0" applyProtection="0"/>
    <xf numFmtId="0" fontId="2" fillId="4" borderId="0" applyNumberFormat="0" applyBorder="0" applyProtection="0">
      <alignment horizontal="center" vertical="center"/>
    </xf>
    <xf numFmtId="0" fontId="3" fillId="9" borderId="0" applyNumberFormat="0" applyBorder="0" applyAlignment="0" applyProtection="0"/>
    <xf numFmtId="0" fontId="2" fillId="5" borderId="0" applyNumberFormat="0" applyBorder="0" applyAlignment="0" applyProtection="0"/>
    <xf numFmtId="0" fontId="5" fillId="7" borderId="0" applyNumberFormat="0" applyBorder="0" applyAlignment="0" applyProtection="0"/>
    <xf numFmtId="0" fontId="2" fillId="6" borderId="0" applyNumberFormat="0" applyBorder="0" applyAlignment="0" applyProtection="0"/>
    <xf numFmtId="0" fontId="3" fillId="15" borderId="0" applyNumberFormat="0" applyBorder="0" applyAlignment="0" applyProtection="0"/>
    <xf numFmtId="0" fontId="2" fillId="8" borderId="0" applyNumberFormat="0" applyBorder="0" applyAlignment="0" applyProtection="0"/>
    <xf numFmtId="0" fontId="5" fillId="15" borderId="0" applyNumberFormat="0" applyBorder="0" applyAlignment="0" applyProtection="0"/>
    <xf numFmtId="0" fontId="2" fillId="18" borderId="0" applyNumberFormat="0" applyBorder="0" applyAlignment="0" applyProtection="0"/>
    <xf numFmtId="0" fontId="3" fillId="17"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3" fillId="10" borderId="0" applyNumberFormat="0" applyBorder="0" applyAlignment="0" applyProtection="0"/>
    <xf numFmtId="0" fontId="5" fillId="11" borderId="0" applyNumberFormat="0" applyBorder="0" applyAlignment="0" applyProtection="0"/>
    <xf numFmtId="0" fontId="2" fillId="2" borderId="0" applyNumberFormat="0" applyBorder="0" applyAlignment="0" applyProtection="0"/>
    <xf numFmtId="0" fontId="3" fillId="12" borderId="0" applyNumberFormat="0" applyBorder="0" applyProtection="0">
      <alignment horizontal="left" vertical="center" indent="1"/>
    </xf>
    <xf numFmtId="0" fontId="3" fillId="13" borderId="0" applyNumberFormat="0" applyBorder="0" applyAlignment="0" applyProtection="0"/>
    <xf numFmtId="0" fontId="3" fillId="14" borderId="0" applyNumberFormat="0" applyBorder="0" applyAlignment="0" applyProtection="0"/>
    <xf numFmtId="1" fontId="2" fillId="0" borderId="0" applyFill="0" applyBorder="0" applyProtection="0">
      <alignment horizontal="center" vertical="center"/>
    </xf>
    <xf numFmtId="0" fontId="2" fillId="0" borderId="0" applyNumberFormat="0" applyFill="0" applyBorder="0">
      <alignment horizontal="left" vertical="center" wrapText="1" indent="2"/>
    </xf>
    <xf numFmtId="0" fontId="9" fillId="0" borderId="0">
      <alignment horizontal="center"/>
    </xf>
    <xf numFmtId="0" fontId="1" fillId="0" borderId="0"/>
    <xf numFmtId="40" fontId="20" fillId="0" borderId="0">
      <alignment horizontal="center" vertical="center" wrapText="1"/>
    </xf>
    <xf numFmtId="40" fontId="16" fillId="0" borderId="0" applyNumberFormat="0" applyFill="0" applyBorder="0" applyAlignment="0" applyProtection="0">
      <alignment horizontal="center" vertical="center" wrapText="1"/>
    </xf>
  </cellStyleXfs>
  <cellXfs count="56">
    <xf numFmtId="0" fontId="0" fillId="0" borderId="0" xfId="0">
      <alignment horizontal="left" vertical="center"/>
    </xf>
    <xf numFmtId="0" fontId="0" fillId="0" borderId="0" xfId="0" applyAlignment="1">
      <alignment horizontal="center" vertical="center"/>
    </xf>
    <xf numFmtId="0" fontId="2" fillId="0" borderId="0" xfId="26" applyFill="1" applyBorder="1">
      <alignment horizontal="left" vertical="center" wrapText="1" indent="2"/>
    </xf>
    <xf numFmtId="1" fontId="2" fillId="0" borderId="0" xfId="25" applyFill="1" applyBorder="1" applyProtection="1">
      <alignment horizontal="center" vertical="center"/>
    </xf>
    <xf numFmtId="164" fontId="0" fillId="0" borderId="0" xfId="0" applyNumberFormat="1" applyAlignment="1">
      <alignment horizontal="center" vertical="center"/>
    </xf>
    <xf numFmtId="0" fontId="0" fillId="0" borderId="0" xfId="0" applyAlignment="1">
      <alignment horizontal="left" vertical="center" indent="1"/>
    </xf>
    <xf numFmtId="0" fontId="10" fillId="0" borderId="0" xfId="0" applyFont="1" applyAlignment="1"/>
    <xf numFmtId="0" fontId="7" fillId="0" borderId="0" xfId="3" applyFill="1" applyProtection="1">
      <alignment horizontal="center" vertical="center"/>
    </xf>
    <xf numFmtId="0" fontId="3" fillId="0" borderId="0" xfId="4" applyFill="1" applyAlignment="1" applyProtection="1">
      <alignment horizontal="left" vertical="center" indent="1"/>
    </xf>
    <xf numFmtId="0" fontId="0" fillId="0" borderId="1" xfId="0" applyBorder="1">
      <alignment horizontal="left" vertical="center"/>
    </xf>
    <xf numFmtId="0" fontId="8" fillId="0" borderId="2" xfId="1" applyBorder="1" applyAlignment="1" applyProtection="1">
      <alignment vertical="center"/>
    </xf>
    <xf numFmtId="0" fontId="0" fillId="0" borderId="2" xfId="0" applyBorder="1">
      <alignment horizontal="left" vertical="center"/>
    </xf>
    <xf numFmtId="0" fontId="0" fillId="0" borderId="0" xfId="0" applyAlignment="1">
      <alignment horizontal="left" vertical="top"/>
    </xf>
    <xf numFmtId="0" fontId="11" fillId="0" borderId="0" xfId="1" applyFont="1" applyAlignment="1" applyProtection="1">
      <alignment horizontal="left" indent="1"/>
    </xf>
    <xf numFmtId="0" fontId="0" fillId="0" borderId="0" xfId="0" applyAlignment="1">
      <alignment horizontal="left" wrapText="1" indent="1"/>
    </xf>
    <xf numFmtId="0" fontId="0" fillId="0" borderId="0" xfId="0" applyAlignment="1">
      <alignment horizontal="left" indent="1"/>
    </xf>
    <xf numFmtId="0" fontId="0" fillId="0" borderId="3" xfId="0" applyBorder="1" applyAlignment="1">
      <alignment horizontal="left" indent="1"/>
    </xf>
    <xf numFmtId="0" fontId="0" fillId="0" borderId="4" xfId="0" applyBorder="1">
      <alignment horizontal="left" vertical="center"/>
    </xf>
    <xf numFmtId="0" fontId="9" fillId="0" borderId="4" xfId="27" applyBorder="1">
      <alignment horizontal="center"/>
    </xf>
    <xf numFmtId="164" fontId="12" fillId="9" borderId="0" xfId="8" applyNumberFormat="1" applyFont="1" applyAlignment="1" applyProtection="1">
      <alignment horizontal="center" vertical="center"/>
    </xf>
    <xf numFmtId="164" fontId="12" fillId="3" borderId="0" xfId="24" applyNumberFormat="1" applyFont="1" applyFill="1" applyAlignment="1" applyProtection="1">
      <alignment horizontal="center" vertical="center"/>
    </xf>
    <xf numFmtId="0" fontId="5" fillId="0" borderId="0" xfId="0" applyFont="1" applyAlignment="1">
      <alignment horizontal="center" vertical="center"/>
    </xf>
    <xf numFmtId="0" fontId="2" fillId="0" borderId="0" xfId="21" applyFill="1" applyBorder="1" applyAlignment="1" applyProtection="1">
      <alignment horizontal="left" vertical="center" indent="1"/>
    </xf>
    <xf numFmtId="0" fontId="2" fillId="0" borderId="0" xfId="0" applyFont="1" applyAlignment="1">
      <alignment horizontal="center" vertical="center"/>
    </xf>
    <xf numFmtId="0" fontId="2" fillId="21" borderId="0" xfId="21" applyFill="1" applyBorder="1" applyAlignment="1" applyProtection="1">
      <alignment horizontal="center" vertical="center"/>
    </xf>
    <xf numFmtId="0" fontId="14" fillId="0" borderId="0" xfId="1" applyFont="1" applyAlignment="1" applyProtection="1">
      <alignment horizontal="left" indent="1"/>
    </xf>
    <xf numFmtId="0" fontId="15" fillId="10" borderId="0" xfId="19" applyFont="1" applyAlignment="1" applyProtection="1">
      <alignment horizontal="center" vertical="center"/>
    </xf>
    <xf numFmtId="0" fontId="15" fillId="13" borderId="0" xfId="23" applyFont="1" applyAlignment="1" applyProtection="1">
      <alignment horizontal="center" vertical="center"/>
    </xf>
    <xf numFmtId="0" fontId="15" fillId="15" borderId="0" xfId="12" applyFont="1" applyAlignment="1" applyProtection="1">
      <alignment horizontal="center" vertical="center"/>
    </xf>
    <xf numFmtId="40" fontId="20" fillId="22" borderId="0" xfId="29" applyFill="1">
      <alignment horizontal="center" vertical="center" wrapText="1"/>
    </xf>
    <xf numFmtId="40" fontId="20" fillId="0" borderId="10" xfId="29" applyBorder="1">
      <alignment horizontal="center" vertical="center" wrapText="1"/>
    </xf>
    <xf numFmtId="40" fontId="20" fillId="0" borderId="11" xfId="29" applyBorder="1">
      <alignment horizontal="center" vertical="center" wrapText="1"/>
    </xf>
    <xf numFmtId="0" fontId="17" fillId="22" borderId="0" xfId="28" applyFont="1" applyFill="1" applyAlignment="1">
      <alignment vertical="center" wrapText="1"/>
    </xf>
    <xf numFmtId="40" fontId="20" fillId="23" borderId="13" xfId="29" applyFill="1" applyBorder="1">
      <alignment horizontal="center" vertical="center" wrapText="1"/>
    </xf>
    <xf numFmtId="40" fontId="20" fillId="23" borderId="14" xfId="29" applyFill="1" applyBorder="1">
      <alignment horizontal="center" vertical="center" wrapText="1"/>
    </xf>
    <xf numFmtId="0" fontId="17" fillId="22" borderId="0" xfId="28" applyFont="1" applyFill="1" applyAlignment="1">
      <alignment vertical="center"/>
    </xf>
    <xf numFmtId="40" fontId="20" fillId="23" borderId="15" xfId="29" applyFill="1" applyBorder="1">
      <alignment horizontal="center" vertical="center" wrapText="1"/>
    </xf>
    <xf numFmtId="40" fontId="20" fillId="23" borderId="17" xfId="29" applyFill="1" applyBorder="1">
      <alignment horizontal="center" vertical="center" wrapText="1"/>
    </xf>
    <xf numFmtId="40" fontId="20" fillId="0" borderId="18" xfId="29" applyBorder="1">
      <alignment horizontal="center" vertical="center" wrapText="1"/>
    </xf>
    <xf numFmtId="0" fontId="24" fillId="0" borderId="0" xfId="3" applyFont="1" applyFill="1" applyAlignment="1" applyProtection="1">
      <alignment horizontal="left" vertical="top"/>
    </xf>
    <xf numFmtId="0" fontId="24" fillId="0" borderId="0" xfId="3" applyFont="1" applyFill="1" applyAlignment="1" applyProtection="1">
      <alignment vertical="top"/>
    </xf>
    <xf numFmtId="0" fontId="17" fillId="22" borderId="5" xfId="28" applyFont="1" applyFill="1" applyBorder="1" applyAlignment="1">
      <alignment horizontal="center" vertical="center" wrapText="1"/>
    </xf>
    <xf numFmtId="0" fontId="17" fillId="22" borderId="6" xfId="28" applyFont="1" applyFill="1" applyBorder="1" applyAlignment="1">
      <alignment horizontal="center" vertical="center" wrapText="1"/>
    </xf>
    <xf numFmtId="0" fontId="17" fillId="22" borderId="12" xfId="28" applyFont="1" applyFill="1" applyBorder="1" applyAlignment="1">
      <alignment horizontal="center" vertical="center" wrapText="1"/>
    </xf>
    <xf numFmtId="0" fontId="17" fillId="22" borderId="0" xfId="28" applyFont="1" applyFill="1" applyAlignment="1">
      <alignment horizontal="center" vertical="center" wrapText="1"/>
    </xf>
    <xf numFmtId="0" fontId="18" fillId="23" borderId="7" xfId="28" applyFont="1" applyFill="1" applyBorder="1" applyAlignment="1">
      <alignment horizontal="center" vertical="center" wrapText="1"/>
    </xf>
    <xf numFmtId="0" fontId="18" fillId="23" borderId="8" xfId="28" applyFont="1" applyFill="1" applyBorder="1" applyAlignment="1">
      <alignment horizontal="center" vertical="center" wrapText="1"/>
    </xf>
    <xf numFmtId="0" fontId="18" fillId="23" borderId="9" xfId="28" applyFont="1" applyFill="1" applyBorder="1" applyAlignment="1">
      <alignment horizontal="center" vertical="center" wrapText="1"/>
    </xf>
    <xf numFmtId="0" fontId="18" fillId="23" borderId="13" xfId="28" applyFont="1" applyFill="1" applyBorder="1" applyAlignment="1">
      <alignment horizontal="center" vertical="center" wrapText="1"/>
    </xf>
    <xf numFmtId="0" fontId="18" fillId="23" borderId="0" xfId="28" applyFont="1" applyFill="1" applyAlignment="1">
      <alignment horizontal="center" vertical="center" wrapText="1"/>
    </xf>
    <xf numFmtId="0" fontId="18" fillId="23" borderId="14" xfId="28" applyFont="1" applyFill="1" applyBorder="1" applyAlignment="1">
      <alignment horizontal="center" vertical="center" wrapText="1"/>
    </xf>
    <xf numFmtId="40" fontId="23" fillId="23" borderId="0" xfId="30" applyFont="1" applyFill="1" applyBorder="1" applyAlignment="1">
      <alignment horizontal="center" vertical="center" wrapText="1"/>
    </xf>
    <xf numFmtId="40" fontId="21" fillId="23" borderId="16" xfId="29" applyFont="1" applyFill="1" applyBorder="1" applyAlignment="1">
      <alignment horizontal="center" vertical="top" wrapText="1"/>
    </xf>
    <xf numFmtId="40" fontId="16" fillId="22" borderId="0" xfId="30" applyFill="1" applyBorder="1" applyAlignment="1">
      <alignment horizontal="left" vertical="center" wrapText="1"/>
    </xf>
    <xf numFmtId="0" fontId="7" fillId="0" borderId="0" xfId="3" applyFill="1" applyAlignment="1" applyProtection="1">
      <alignment horizontal="left" vertical="center"/>
    </xf>
    <xf numFmtId="0" fontId="2" fillId="0" borderId="0" xfId="21" applyFill="1" applyAlignment="1" applyProtection="1">
      <alignment horizontal="left" vertical="center" indent="1"/>
    </xf>
  </cellXfs>
  <cellStyles count="31">
    <cellStyle name="20% - Accent1" xfId="15" builtinId="30" customBuiltin="1"/>
    <cellStyle name="20% - Accent3" xfId="21" builtinId="38" customBuiltin="1"/>
    <cellStyle name="20% - Accent4" xfId="7" builtinId="42" customBuiltin="1"/>
    <cellStyle name="20% - Accent6" xfId="11" builtinId="50" customBuiltin="1"/>
    <cellStyle name="40% - Accent1" xfId="16" builtinId="31" customBuiltin="1"/>
    <cellStyle name="40% - Accent2" xfId="19" builtinId="35" customBuiltin="1"/>
    <cellStyle name="40% - Accent3" xfId="22" builtinId="39" customBuiltin="1"/>
    <cellStyle name="40% - Accent4" xfId="8" builtinId="43" customBuiltin="1"/>
    <cellStyle name="40% - Accent5" xfId="24" builtinId="47" customBuiltin="1"/>
    <cellStyle name="40% - Accent6" xfId="12" builtinId="51" customBuiltin="1"/>
    <cellStyle name="60% - Accent1" xfId="17" builtinId="32" customBuiltin="1"/>
    <cellStyle name="60% - Accent3" xfId="23" builtinId="40" customBuiltin="1"/>
    <cellStyle name="60% - Accent4" xfId="9" builtinId="44" customBuiltin="1"/>
    <cellStyle name="60% - Accent6" xfId="13" builtinId="52" customBuiltin="1"/>
    <cellStyle name="Accent1" xfId="14" builtinId="29" customBuiltin="1"/>
    <cellStyle name="Accent2" xfId="18" builtinId="33" customBuiltin="1"/>
    <cellStyle name="Accent3" xfId="20" builtinId="37" customBuiltin="1"/>
    <cellStyle name="Accent4" xfId="6" builtinId="41" customBuiltin="1"/>
    <cellStyle name="Accent6" xfId="10" builtinId="49" customBuiltin="1"/>
    <cellStyle name="Employee" xfId="26" xr:uid="{00000000-0005-0000-0000-000013000000}"/>
    <cellStyle name="Heading 1" xfId="2" builtinId="16" customBuiltin="1"/>
    <cellStyle name="Heading 2" xfId="3" builtinId="17" customBuiltin="1"/>
    <cellStyle name="Heading 3" xfId="4" builtinId="18" customBuiltin="1"/>
    <cellStyle name="Heading 4" xfId="5" builtinId="19" customBuiltin="1"/>
    <cellStyle name="Hyperlink 2" xfId="30" xr:uid="{451FCEBB-02E6-4BE5-9402-8C22B46B25E6}"/>
    <cellStyle name="Label" xfId="27" xr:uid="{00000000-0005-0000-0000-000018000000}"/>
    <cellStyle name="Normal" xfId="0" builtinId="0" customBuiltin="1"/>
    <cellStyle name="Normal 2" xfId="29" xr:uid="{F44FD975-807D-4F4C-BD53-FE79FF17E712}"/>
    <cellStyle name="Normal 2 2" xfId="28" xr:uid="{E37B85C0-2CC8-4F82-A5EC-F006DD01F3A3}"/>
    <cellStyle name="Title" xfId="1" builtinId="15" customBuiltin="1"/>
    <cellStyle name="Total" xfId="25" builtinId="25" customBuiltin="1"/>
  </cellStyles>
  <dxfs count="911">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Calibri"/>
        <family val="2"/>
        <scheme val="minor"/>
      </font>
      <protection locked="1" hidden="0"/>
    </dxf>
    <dxf>
      <alignment horizontal="left" vertical="center" textRotation="0" wrapText="0" indent="1" justifyLastLine="0" shrinkToFit="0" readingOrder="0"/>
    </dxf>
    <dxf>
      <fill>
        <patternFill patternType="none">
          <fgColor indexed="64"/>
          <bgColor indexed="65"/>
        </patternFill>
      </fill>
      <protection locked="1" hidden="0"/>
    </dxf>
    <dxf>
      <protection locked="1" hidden="0"/>
    </dxf>
    <dxf>
      <protection locked="1" hidden="0"/>
    </dxf>
    <dxf>
      <protection locked="1" hidden="0"/>
    </dxf>
    <dxf>
      <font>
        <b val="0"/>
        <i val="0"/>
        <color theme="3"/>
      </font>
      <border>
        <vertical/>
        <horizontal/>
      </border>
    </dxf>
    <dxf>
      <font>
        <color theme="0"/>
      </font>
      <border>
        <vertical/>
        <horizontal/>
      </border>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fill>
        <patternFill patternType="none">
          <fgColor indexed="64"/>
          <bgColor indexed="65"/>
        </patternFill>
      </fill>
    </dxf>
    <dxf>
      <protection locked="1" hidden="0"/>
    </dxf>
    <dxf>
      <protection locked="1" hidden="0"/>
    </dxf>
    <dxf>
      <alignment horizontal="center" vertical="center" textRotation="0" wrapText="0" indent="0" justifyLastLine="0" shrinkToFit="0" readingOrder="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patternType="solid">
          <bgColor theme="5" tint="0.399945066682943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bgColor theme="5" tint="0.399945066682943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bgColor theme="2"/>
        </patternFill>
      </fill>
      <border diagonalUp="0" diagonalDown="0">
        <left/>
        <right/>
        <top/>
        <bottom style="thin">
          <color theme="0" tint="-0.14996795556505021"/>
        </bottom>
        <vertical/>
        <horizontal/>
      </border>
    </dxf>
    <dxf>
      <font>
        <color theme="1"/>
      </font>
      <fill>
        <patternFill patternType="none">
          <bgColor auto="1"/>
        </patternFill>
      </fill>
      <border diagonalUp="0" diagonalDown="0">
        <left/>
        <right/>
        <top style="thin">
          <color theme="0" tint="-0.14996795556505021"/>
        </top>
        <bottom style="thin">
          <color theme="0" tint="-0.14993743705557422"/>
        </bottom>
        <vertical/>
        <horizontal/>
      </border>
    </dxf>
    <dxf>
      <fill>
        <patternFill>
          <bgColor theme="0" tint="-0.14996795556505021"/>
        </patternFill>
      </fill>
      <border>
        <left style="thin">
          <color theme="0"/>
        </left>
        <right style="thin">
          <color theme="0"/>
        </right>
        <vertical style="thin">
          <color theme="0"/>
        </vertical>
      </border>
    </dxf>
    <dxf>
      <fill>
        <patternFill>
          <bgColor theme="0" tint="-4.9989318521683403E-2"/>
        </patternFill>
      </fill>
      <border>
        <left style="thin">
          <color theme="0"/>
        </left>
        <right style="thin">
          <color theme="0"/>
        </right>
        <top style="thick">
          <color theme="5" tint="0.59996337778862885"/>
        </top>
        <bottom style="thick">
          <color theme="5" tint="0.59996337778862885"/>
        </bottom>
        <vertical style="thin">
          <color theme="0"/>
        </vertical>
        <horizontal style="thick">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b/>
        <i val="0"/>
        <color theme="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theme="1"/>
      </font>
      <fill>
        <patternFill patternType="none">
          <bgColor auto="1"/>
        </patternFill>
      </fill>
      <border>
        <left/>
        <right/>
        <top style="thin">
          <color theme="5" tint="0.59996337778862885"/>
        </top>
        <bottom style="thin">
          <color theme="5" tint="0.59996337778862885"/>
        </bottom>
        <vertical/>
        <horizontal style="thin">
          <color theme="5" tint="0.59996337778862885"/>
        </horizontal>
      </border>
    </dxf>
    <dxf>
      <font>
        <color theme="1"/>
      </font>
      <fill>
        <patternFill>
          <bgColor theme="5" tint="0.39994506668294322"/>
        </patternFill>
      </fill>
      <border diagonalUp="0" diagonalDown="0">
        <left style="thin">
          <color theme="0"/>
        </left>
        <right style="thin">
          <color theme="0"/>
        </right>
        <top style="thick">
          <color theme="0"/>
        </top>
        <bottom style="thick">
          <color theme="5"/>
        </bottom>
        <vertical style="thick">
          <color theme="0"/>
        </vertical>
        <horizontal/>
      </border>
    </dxf>
    <dxf>
      <font>
        <color theme="0"/>
      </font>
      <fill>
        <patternFill>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theme="0"/>
      </font>
      <border diagonalUp="0" diagonalDown="0">
        <left/>
        <right/>
        <top/>
        <bottom style="thick">
          <color theme="0"/>
        </bottom>
        <vertical style="thick">
          <color theme="0"/>
        </vertical>
        <horizontal style="thick">
          <color theme="0"/>
        </horizontal>
      </border>
    </dxf>
    <dxf>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color auto="1"/>
      </font>
      <fill>
        <patternFill>
          <fgColor theme="5" tint="0.39994506668294322"/>
          <bgColor theme="5" tint="0.39991454817346722"/>
        </patternFill>
      </fill>
      <border diagonalUp="0" diagonalDown="0">
        <left style="thin">
          <color theme="0"/>
        </left>
        <right style="thin">
          <color theme="0"/>
        </right>
        <top style="thin">
          <color theme="5" tint="0.59996337778862885"/>
        </top>
        <bottom style="thick">
          <color theme="5"/>
        </bottom>
        <vertical style="thick">
          <color theme="0"/>
        </vertical>
        <horizontal style="thin">
          <color theme="5" tint="0.59996337778862885"/>
        </horizontal>
      </border>
    </dxf>
    <dxf>
      <font>
        <color theme="0"/>
      </font>
      <fill>
        <patternFill>
          <fgColor theme="5" tint="-0.24994659260841701"/>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auto="1"/>
      </font>
      <border diagonalUp="0" diagonalDown="0">
        <left style="thin">
          <color theme="0"/>
        </left>
        <right/>
        <top style="thin">
          <color theme="0"/>
        </top>
        <bottom style="thin">
          <color theme="0"/>
        </bottom>
        <vertical style="thick">
          <color theme="0"/>
        </vertical>
        <horizontal style="thick">
          <color theme="0"/>
        </horizontal>
      </border>
    </dxf>
  </dxfs>
  <tableStyles count="2" defaultTableStyle="Employee Absence Table" defaultPivotStyle="PivotStyleLight16">
    <tableStyle name="Employee Absence Table" pivot="0" count="9" xr9:uid="{00000000-0011-0000-FFFF-FFFF00000000}">
      <tableStyleElement type="wholeTable" dxfId="910"/>
      <tableStyleElement type="headerRow" dxfId="909"/>
      <tableStyleElement type="totalRow" dxfId="908"/>
      <tableStyleElement type="firstRowStripe" dxfId="907"/>
      <tableStyleElement type="secondRowStripe" dxfId="906"/>
      <tableStyleElement type="firstHeaderCell" dxfId="905"/>
      <tableStyleElement type="lastHeaderCell" dxfId="904"/>
      <tableStyleElement type="firstTotalCell" dxfId="903"/>
      <tableStyleElement type="lastTotalCell" dxfId="902"/>
    </tableStyle>
    <tableStyle name="Employee Absence Table 2" pivot="0" count="13" xr9:uid="{3374F2B5-EC6B-E245-A90B-F84953DFCF99}">
      <tableStyleElement type="wholeTable" dxfId="901"/>
      <tableStyleElement type="headerRow" dxfId="900"/>
      <tableStyleElement type="totalRow" dxfId="899"/>
      <tableStyleElement type="firstColumn" dxfId="898"/>
      <tableStyleElement type="lastColumn" dxfId="897"/>
      <tableStyleElement type="firstRowStripe" dxfId="896"/>
      <tableStyleElement type="secondRowStripe" dxfId="895"/>
      <tableStyleElement type="firstColumnStripe" dxfId="894"/>
      <tableStyleElement type="secondColumnStripe" dxfId="893"/>
      <tableStyleElement type="firstHeaderCell" dxfId="892"/>
      <tableStyleElement type="lastHeaderCell" dxfId="891"/>
      <tableStyleElement type="firstTotalCell" dxfId="890"/>
      <tableStyleElement type="lastTotalCell" dxfId="88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361951</xdr:colOff>
      <xdr:row>1</xdr:row>
      <xdr:rowOff>188085</xdr:rowOff>
    </xdr:from>
    <xdr:to>
      <xdr:col>10</xdr:col>
      <xdr:colOff>1</xdr:colOff>
      <xdr:row>4</xdr:row>
      <xdr:rowOff>117101</xdr:rowOff>
    </xdr:to>
    <xdr:pic>
      <xdr:nvPicPr>
        <xdr:cNvPr id="2" name="Picture 1">
          <a:extLst>
            <a:ext uri="{FF2B5EF4-FFF2-40B4-BE49-F238E27FC236}">
              <a16:creationId xmlns:a16="http://schemas.microsoft.com/office/drawing/2014/main" id="{B29C5D64-7E4B-4B41-8101-CCA65B3B18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9151" y="407160"/>
          <a:ext cx="1466850" cy="586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esktop/Brics/Templates/Excel%20and%20Word/Brics%20Monthly%20Budget%20for%20Busines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Budget Summary"/>
      <sheetName val="Income"/>
      <sheetName val="Personnel Expenses"/>
      <sheetName val="Operating Expenses"/>
      <sheetName val="Brics Monthly Budget for Busine"/>
    </sheetNames>
    <sheetDataSet>
      <sheetData sheetId="0">
        <row r="1">
          <cell r="B1" t="str">
            <v>John Studios</v>
          </cell>
        </row>
      </sheetData>
      <sheetData sheetId="1"/>
      <sheetData sheetId="2"/>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January" displayName="January" ref="B8:AH14" totalsRowCount="1" headerRowDxfId="883" dataDxfId="882" totalsRowDxfId="881">
  <autoFilter ref="B8:AH1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000-000001000000}" name="Employee name" totalsRowFunction="custom" dataDxfId="880" totalsRowDxfId="879" dataCellStyle="Employee">
      <totalsRowFormula>MonthName&amp;" total"</totalsRowFormula>
    </tableColumn>
    <tableColumn id="2" xr3:uid="{00000000-0010-0000-0000-000002000000}" name="1" totalsRowFunction="custom" dataDxfId="878" totalsRowDxfId="877" dataCellStyle="Total">
      <totalsRowFormula>SUBTOTAL(103,January!$C$9:$C$13)</totalsRowFormula>
    </tableColumn>
    <tableColumn id="3" xr3:uid="{00000000-0010-0000-0000-000003000000}" name="2" totalsRowFunction="custom" dataDxfId="876" totalsRowDxfId="875" dataCellStyle="Total">
      <totalsRowFormula>SUBTOTAL(103,January!$D$9:$D$13)</totalsRowFormula>
    </tableColumn>
    <tableColumn id="4" xr3:uid="{00000000-0010-0000-0000-000004000000}" name="3" totalsRowFunction="custom" dataDxfId="874" totalsRowDxfId="873" dataCellStyle="Total">
      <totalsRowFormula>SUBTOTAL(103,January!$E$9:$E$13)</totalsRowFormula>
    </tableColumn>
    <tableColumn id="5" xr3:uid="{00000000-0010-0000-0000-000005000000}" name="4" totalsRowFunction="custom" dataDxfId="872" totalsRowDxfId="871" dataCellStyle="Total">
      <totalsRowFormula>SUBTOTAL(103,January!$F$9:$F$13)</totalsRowFormula>
    </tableColumn>
    <tableColumn id="6" xr3:uid="{00000000-0010-0000-0000-000006000000}" name="5" totalsRowFunction="custom" totalsRowDxfId="870" dataCellStyle="Total">
      <totalsRowFormula>SUBTOTAL(103,January!$G$9:$G$13)</totalsRowFormula>
    </tableColumn>
    <tableColumn id="7" xr3:uid="{00000000-0010-0000-0000-000007000000}" name="6" totalsRowFunction="custom" dataDxfId="869" totalsRowDxfId="868" dataCellStyle="Total">
      <totalsRowFormula>SUBTOTAL(103,January!$H$9:$H$13)</totalsRowFormula>
    </tableColumn>
    <tableColumn id="8" xr3:uid="{00000000-0010-0000-0000-000008000000}" name="7" totalsRowFunction="custom" dataDxfId="867" totalsRowDxfId="866" dataCellStyle="Total">
      <totalsRowFormula>SUBTOTAL(103,January!$I$9:$I$13)</totalsRowFormula>
    </tableColumn>
    <tableColumn id="9" xr3:uid="{00000000-0010-0000-0000-000009000000}" name="8" totalsRowFunction="custom" dataDxfId="865" totalsRowDxfId="864" dataCellStyle="Total">
      <totalsRowFormula>SUBTOTAL(103,January!$J$9:$J$13)</totalsRowFormula>
    </tableColumn>
    <tableColumn id="10" xr3:uid="{00000000-0010-0000-0000-00000A000000}" name="9" totalsRowFunction="custom" dataDxfId="863" totalsRowDxfId="862" dataCellStyle="Total">
      <totalsRowFormula>SUBTOTAL(103,January!$K$9:$K$13)</totalsRowFormula>
    </tableColumn>
    <tableColumn id="11" xr3:uid="{00000000-0010-0000-0000-00000B000000}" name="10" totalsRowFunction="custom" dataDxfId="861" totalsRowDxfId="860" dataCellStyle="Total">
      <totalsRowFormula>SUBTOTAL(103,January!$L$9:$L$13)</totalsRowFormula>
    </tableColumn>
    <tableColumn id="12" xr3:uid="{00000000-0010-0000-0000-00000C000000}" name="11" totalsRowFunction="custom" dataDxfId="859" totalsRowDxfId="858" dataCellStyle="Total">
      <totalsRowFormula>SUBTOTAL(103,January!$M$9:$M$13)</totalsRowFormula>
    </tableColumn>
    <tableColumn id="13" xr3:uid="{00000000-0010-0000-0000-00000D000000}" name="12" totalsRowFunction="custom" dataDxfId="857" totalsRowDxfId="856" dataCellStyle="Total">
      <totalsRowFormula>SUBTOTAL(103,January!$N$9:$N$13)</totalsRowFormula>
    </tableColumn>
    <tableColumn id="14" xr3:uid="{00000000-0010-0000-0000-00000E000000}" name="13" totalsRowFunction="custom" dataDxfId="855" totalsRowDxfId="854" dataCellStyle="Total">
      <totalsRowFormula>SUBTOTAL(103,January!$O$9:$O$13)</totalsRowFormula>
    </tableColumn>
    <tableColumn id="15" xr3:uid="{00000000-0010-0000-0000-00000F000000}" name="14" totalsRowFunction="custom" dataDxfId="853" totalsRowDxfId="852" dataCellStyle="Total">
      <totalsRowFormula>SUBTOTAL(103,January!$P$9:$P$13)</totalsRowFormula>
    </tableColumn>
    <tableColumn id="16" xr3:uid="{00000000-0010-0000-0000-000010000000}" name="15" totalsRowFunction="custom" dataDxfId="851" totalsRowDxfId="850" dataCellStyle="Total">
      <totalsRowFormula>SUBTOTAL(103,January!$Q$9:$Q$13)</totalsRowFormula>
    </tableColumn>
    <tableColumn id="17" xr3:uid="{00000000-0010-0000-0000-000011000000}" name="16" totalsRowFunction="custom" dataDxfId="849" totalsRowDxfId="848" dataCellStyle="Total">
      <totalsRowFormula>SUBTOTAL(103,January!$R$9:$R$13)</totalsRowFormula>
    </tableColumn>
    <tableColumn id="18" xr3:uid="{00000000-0010-0000-0000-000012000000}" name="17" totalsRowFunction="custom" dataDxfId="847" totalsRowDxfId="846" dataCellStyle="Total">
      <totalsRowFormula>SUBTOTAL(103,January!$S$9:$S$13)</totalsRowFormula>
    </tableColumn>
    <tableColumn id="19" xr3:uid="{00000000-0010-0000-0000-000013000000}" name="18" totalsRowFunction="custom" dataDxfId="845" totalsRowDxfId="844" dataCellStyle="Total">
      <totalsRowFormula>SUBTOTAL(103,January!$T$9:$T$13)</totalsRowFormula>
    </tableColumn>
    <tableColumn id="20" xr3:uid="{00000000-0010-0000-0000-000014000000}" name="19" totalsRowFunction="custom" dataDxfId="843" totalsRowDxfId="842" dataCellStyle="Total">
      <totalsRowFormula>SUBTOTAL(103,January!$U$9:$U$13)</totalsRowFormula>
    </tableColumn>
    <tableColumn id="21" xr3:uid="{00000000-0010-0000-0000-000015000000}" name="20" totalsRowFunction="custom" dataDxfId="841" totalsRowDxfId="840" dataCellStyle="Total">
      <totalsRowFormula>SUBTOTAL(103,January!$V$9:$V$13)</totalsRowFormula>
    </tableColumn>
    <tableColumn id="22" xr3:uid="{00000000-0010-0000-0000-000016000000}" name="21" totalsRowFunction="custom" dataDxfId="839" totalsRowDxfId="838" dataCellStyle="Total">
      <totalsRowFormula>SUBTOTAL(103,January!$W$9:$W$13)</totalsRowFormula>
    </tableColumn>
    <tableColumn id="23" xr3:uid="{00000000-0010-0000-0000-000017000000}" name="22" totalsRowFunction="custom" dataDxfId="837" totalsRowDxfId="836" dataCellStyle="Total">
      <totalsRowFormula>SUBTOTAL(103,January!$X$9:$X$13)</totalsRowFormula>
    </tableColumn>
    <tableColumn id="24" xr3:uid="{00000000-0010-0000-0000-000018000000}" name="23" totalsRowFunction="custom" dataDxfId="835" totalsRowDxfId="834" dataCellStyle="Total">
      <totalsRowFormula>SUBTOTAL(103,January!$Y$9:$Y$13)</totalsRowFormula>
    </tableColumn>
    <tableColumn id="25" xr3:uid="{00000000-0010-0000-0000-000019000000}" name="24" totalsRowFunction="custom" dataDxfId="833" totalsRowDxfId="832" dataCellStyle="Total">
      <totalsRowFormula>SUBTOTAL(103,January!$Z$9:$Z$13)</totalsRowFormula>
    </tableColumn>
    <tableColumn id="26" xr3:uid="{00000000-0010-0000-0000-00001A000000}" name="25" totalsRowFunction="custom" dataDxfId="831" totalsRowDxfId="830" dataCellStyle="Total">
      <totalsRowFormula>SUBTOTAL(103,January!$AA$9:$AA$13)</totalsRowFormula>
    </tableColumn>
    <tableColumn id="27" xr3:uid="{00000000-0010-0000-0000-00001B000000}" name="26" totalsRowFunction="custom" dataDxfId="829" totalsRowDxfId="828" dataCellStyle="Total">
      <totalsRowFormula>SUBTOTAL(103,January!$AB$9:$AB$13)</totalsRowFormula>
    </tableColumn>
    <tableColumn id="28" xr3:uid="{00000000-0010-0000-0000-00001C000000}" name="27" totalsRowFunction="custom" dataDxfId="827" totalsRowDxfId="826" dataCellStyle="Total">
      <totalsRowFormula>SUBTOTAL(103,January!$AC$9:$AC$13)</totalsRowFormula>
    </tableColumn>
    <tableColumn id="29" xr3:uid="{00000000-0010-0000-0000-00001D000000}" name="28" totalsRowFunction="custom" dataDxfId="825" totalsRowDxfId="824" dataCellStyle="Total">
      <totalsRowFormula>SUBTOTAL(103,January!$AD$9:$AD$13)</totalsRowFormula>
    </tableColumn>
    <tableColumn id="30" xr3:uid="{00000000-0010-0000-0000-00001E000000}" name="29" totalsRowFunction="custom" dataDxfId="823" totalsRowDxfId="822" dataCellStyle="Total">
      <totalsRowFormula>SUBTOTAL(103,January!$AE$9:$AE$13)</totalsRowFormula>
    </tableColumn>
    <tableColumn id="31" xr3:uid="{00000000-0010-0000-0000-00001F000000}" name="30" totalsRowFunction="custom" dataDxfId="821" totalsRowDxfId="820" dataCellStyle="Total">
      <totalsRowFormula>SUBTOTAL(103,January!$AF$9:$AF$13)</totalsRowFormula>
    </tableColumn>
    <tableColumn id="32" xr3:uid="{00000000-0010-0000-0000-000020000000}" name="31" totalsRowFunction="custom" dataDxfId="819" totalsRowDxfId="818" dataCellStyle="Total">
      <totalsRowFormula>SUBTOTAL(103,January!$AG$9:$AG$13)</totalsRowFormula>
    </tableColumn>
    <tableColumn id="33" xr3:uid="{00000000-0010-0000-0000-000021000000}" name="Total days" totalsRowFunction="sum" dataDxfId="817" totalsRowDxfId="816" dataCellStyle="Total">
      <calculatedColumnFormula>COUNTA(January!$C9:$AG9)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9000000}" name="October" displayName="October" ref="B8:AH14" totalsRowCount="1" headerRowDxfId="216" dataDxfId="215" totalsRowDxfId="214">
  <tableColumns count="33">
    <tableColumn id="1" xr3:uid="{00000000-0010-0000-0900-000001000000}" name="Employee name" totalsRowFunction="custom" dataDxfId="213" totalsRowDxfId="212" dataCellStyle="Employee">
      <totalsRowFormula>MonthName&amp;" Total"</totalsRowFormula>
    </tableColumn>
    <tableColumn id="2" xr3:uid="{00000000-0010-0000-0900-000002000000}" name="1" totalsRowFunction="count" dataDxfId="211" totalsRowDxfId="210"/>
    <tableColumn id="3" xr3:uid="{00000000-0010-0000-0900-000003000000}" name="2" totalsRowFunction="count" dataDxfId="209" totalsRowDxfId="208"/>
    <tableColumn id="4" xr3:uid="{00000000-0010-0000-0900-000004000000}" name="3" totalsRowFunction="count" dataDxfId="207" totalsRowDxfId="206"/>
    <tableColumn id="5" xr3:uid="{00000000-0010-0000-0900-000005000000}" name="4" totalsRowFunction="count" dataDxfId="205" totalsRowDxfId="204"/>
    <tableColumn id="6" xr3:uid="{00000000-0010-0000-0900-000006000000}" name="5" totalsRowFunction="count" dataDxfId="203" totalsRowDxfId="202"/>
    <tableColumn id="7" xr3:uid="{00000000-0010-0000-0900-000007000000}" name="6" totalsRowFunction="count" dataDxfId="201" totalsRowDxfId="200"/>
    <tableColumn id="8" xr3:uid="{00000000-0010-0000-0900-000008000000}" name="7" totalsRowFunction="count" dataDxfId="199" totalsRowDxfId="198"/>
    <tableColumn id="9" xr3:uid="{00000000-0010-0000-0900-000009000000}" name="8" totalsRowFunction="count" dataDxfId="197" totalsRowDxfId="196"/>
    <tableColumn id="10" xr3:uid="{00000000-0010-0000-0900-00000A000000}" name="9" totalsRowFunction="count" dataDxfId="195" totalsRowDxfId="194"/>
    <tableColumn id="11" xr3:uid="{00000000-0010-0000-0900-00000B000000}" name="10" totalsRowFunction="count" dataDxfId="193" totalsRowDxfId="192"/>
    <tableColumn id="12" xr3:uid="{00000000-0010-0000-0900-00000C000000}" name="11" totalsRowFunction="count" dataDxfId="191" totalsRowDxfId="190"/>
    <tableColumn id="13" xr3:uid="{00000000-0010-0000-0900-00000D000000}" name="12" totalsRowFunction="count" dataDxfId="189" totalsRowDxfId="188"/>
    <tableColumn id="14" xr3:uid="{00000000-0010-0000-0900-00000E000000}" name="13" totalsRowFunction="count" dataDxfId="187" totalsRowDxfId="186"/>
    <tableColumn id="15" xr3:uid="{00000000-0010-0000-0900-00000F000000}" name="14" totalsRowFunction="count" dataDxfId="185" totalsRowDxfId="184"/>
    <tableColumn id="16" xr3:uid="{00000000-0010-0000-0900-000010000000}" name="15" totalsRowFunction="count" dataDxfId="183" totalsRowDxfId="182"/>
    <tableColumn id="17" xr3:uid="{00000000-0010-0000-0900-000011000000}" name="16" totalsRowFunction="count" dataDxfId="181" totalsRowDxfId="180"/>
    <tableColumn id="18" xr3:uid="{00000000-0010-0000-0900-000012000000}" name="17" totalsRowFunction="count" dataDxfId="179" totalsRowDxfId="178"/>
    <tableColumn id="19" xr3:uid="{00000000-0010-0000-0900-000013000000}" name="18" totalsRowFunction="count" dataDxfId="177" totalsRowDxfId="176"/>
    <tableColumn id="20" xr3:uid="{00000000-0010-0000-0900-000014000000}" name="19" totalsRowFunction="count" dataDxfId="175" totalsRowDxfId="174"/>
    <tableColumn id="21" xr3:uid="{00000000-0010-0000-0900-000015000000}" name="20" totalsRowFunction="count" dataDxfId="173" totalsRowDxfId="172"/>
    <tableColumn id="22" xr3:uid="{00000000-0010-0000-0900-000016000000}" name="21" totalsRowFunction="count" dataDxfId="171" totalsRowDxfId="170"/>
    <tableColumn id="23" xr3:uid="{00000000-0010-0000-0900-000017000000}" name="22" totalsRowFunction="count" dataDxfId="169" totalsRowDxfId="168"/>
    <tableColumn id="24" xr3:uid="{00000000-0010-0000-0900-000018000000}" name="23" totalsRowFunction="count" dataDxfId="167" totalsRowDxfId="166"/>
    <tableColumn id="25" xr3:uid="{00000000-0010-0000-0900-000019000000}" name="24" totalsRowFunction="count" dataDxfId="165" totalsRowDxfId="164"/>
    <tableColumn id="26" xr3:uid="{00000000-0010-0000-0900-00001A000000}" name="25" totalsRowFunction="count" dataDxfId="163" totalsRowDxfId="162"/>
    <tableColumn id="27" xr3:uid="{00000000-0010-0000-0900-00001B000000}" name="26" totalsRowFunction="count" dataDxfId="161" totalsRowDxfId="160"/>
    <tableColumn id="28" xr3:uid="{00000000-0010-0000-0900-00001C000000}" name="27" totalsRowFunction="count" dataDxfId="159" totalsRowDxfId="158"/>
    <tableColumn id="29" xr3:uid="{00000000-0010-0000-0900-00001D000000}" name="28" totalsRowFunction="count" dataDxfId="157" totalsRowDxfId="156"/>
    <tableColumn id="30" xr3:uid="{00000000-0010-0000-0900-00001E000000}" name="29" totalsRowFunction="count" dataDxfId="155" totalsRowDxfId="154"/>
    <tableColumn id="31" xr3:uid="{00000000-0010-0000-0900-00001F000000}" name="30" totalsRowFunction="sum" dataDxfId="153" totalsRowDxfId="152"/>
    <tableColumn id="32" xr3:uid="{00000000-0010-0000-0900-000020000000}" name="31" totalsRowFunction="sum" dataDxfId="151" totalsRowDxfId="150" dataCellStyle="Total"/>
    <tableColumn id="33" xr3:uid="{00000000-0010-0000-0900-000021000000}" name="Total days" totalsRowFunction="sum" dataDxfId="149" totalsRowDxfId="148" dataCellStyle="Total">
      <calculatedColumnFormula>COUNTA(October[[#This Row],[1]:[31]])</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November" displayName="November" ref="B8:AH14" totalsRowCount="1" headerRowDxfId="142" dataDxfId="141" totalsRowDxfId="140">
  <tableColumns count="33">
    <tableColumn id="1" xr3:uid="{00000000-0010-0000-0A00-000001000000}" name="Employee name" totalsRowFunction="custom" dataDxfId="139" totalsRowDxfId="138" dataCellStyle="Employee">
      <totalsRowFormula>MonthName&amp;" Total"</totalsRowFormula>
    </tableColumn>
    <tableColumn id="2" xr3:uid="{00000000-0010-0000-0A00-000002000000}" name="1" totalsRowFunction="count" dataDxfId="137" totalsRowDxfId="136"/>
    <tableColumn id="3" xr3:uid="{00000000-0010-0000-0A00-000003000000}" name="2" totalsRowFunction="count" dataDxfId="135" totalsRowDxfId="134"/>
    <tableColumn id="4" xr3:uid="{00000000-0010-0000-0A00-000004000000}" name="3" totalsRowFunction="count" dataDxfId="133" totalsRowDxfId="132"/>
    <tableColumn id="5" xr3:uid="{00000000-0010-0000-0A00-000005000000}" name="4" totalsRowFunction="count" dataDxfId="131" totalsRowDxfId="130"/>
    <tableColumn id="6" xr3:uid="{00000000-0010-0000-0A00-000006000000}" name="5" totalsRowFunction="count" dataDxfId="129" totalsRowDxfId="128"/>
    <tableColumn id="7" xr3:uid="{00000000-0010-0000-0A00-000007000000}" name="6" totalsRowFunction="count" dataDxfId="127" totalsRowDxfId="126"/>
    <tableColumn id="8" xr3:uid="{00000000-0010-0000-0A00-000008000000}" name="7" totalsRowFunction="count" dataDxfId="125" totalsRowDxfId="124"/>
    <tableColumn id="9" xr3:uid="{00000000-0010-0000-0A00-000009000000}" name="8" totalsRowFunction="count" dataDxfId="123" totalsRowDxfId="122"/>
    <tableColumn id="10" xr3:uid="{00000000-0010-0000-0A00-00000A000000}" name="9" totalsRowFunction="count" dataDxfId="121" totalsRowDxfId="120"/>
    <tableColumn id="11" xr3:uid="{00000000-0010-0000-0A00-00000B000000}" name="10" totalsRowFunction="count" dataDxfId="119" totalsRowDxfId="118"/>
    <tableColumn id="12" xr3:uid="{00000000-0010-0000-0A00-00000C000000}" name="11" totalsRowFunction="count" dataDxfId="117" totalsRowDxfId="116"/>
    <tableColumn id="13" xr3:uid="{00000000-0010-0000-0A00-00000D000000}" name="12" totalsRowFunction="count" dataDxfId="115" totalsRowDxfId="114"/>
    <tableColumn id="14" xr3:uid="{00000000-0010-0000-0A00-00000E000000}" name="13" totalsRowFunction="count" dataDxfId="113" totalsRowDxfId="112"/>
    <tableColumn id="15" xr3:uid="{00000000-0010-0000-0A00-00000F000000}" name="14" totalsRowFunction="count" dataDxfId="111" totalsRowDxfId="110"/>
    <tableColumn id="16" xr3:uid="{00000000-0010-0000-0A00-000010000000}" name="15" totalsRowFunction="count" dataDxfId="109" totalsRowDxfId="108"/>
    <tableColumn id="17" xr3:uid="{00000000-0010-0000-0A00-000011000000}" name="16" totalsRowFunction="count" dataDxfId="107" totalsRowDxfId="106"/>
    <tableColumn id="18" xr3:uid="{00000000-0010-0000-0A00-000012000000}" name="17" totalsRowFunction="count" dataDxfId="105" totalsRowDxfId="104"/>
    <tableColumn id="19" xr3:uid="{00000000-0010-0000-0A00-000013000000}" name="18" totalsRowFunction="count" dataDxfId="103" totalsRowDxfId="102"/>
    <tableColumn id="20" xr3:uid="{00000000-0010-0000-0A00-000014000000}" name="19" totalsRowFunction="count" dataDxfId="101" totalsRowDxfId="100"/>
    <tableColumn id="21" xr3:uid="{00000000-0010-0000-0A00-000015000000}" name="20" totalsRowFunction="count" dataDxfId="99" totalsRowDxfId="98"/>
    <tableColumn id="22" xr3:uid="{00000000-0010-0000-0A00-000016000000}" name="21" totalsRowFunction="count" dataDxfId="97" totalsRowDxfId="96"/>
    <tableColumn id="23" xr3:uid="{00000000-0010-0000-0A00-000017000000}" name="22" totalsRowFunction="count" dataDxfId="95" totalsRowDxfId="94"/>
    <tableColumn id="24" xr3:uid="{00000000-0010-0000-0A00-000018000000}" name="23" totalsRowFunction="count" dataDxfId="93" totalsRowDxfId="92"/>
    <tableColumn id="25" xr3:uid="{00000000-0010-0000-0A00-000019000000}" name="24" totalsRowFunction="count" dataDxfId="91" totalsRowDxfId="90"/>
    <tableColumn id="26" xr3:uid="{00000000-0010-0000-0A00-00001A000000}" name="25" totalsRowFunction="count" dataDxfId="89" totalsRowDxfId="88"/>
    <tableColumn id="27" xr3:uid="{00000000-0010-0000-0A00-00001B000000}" name="26" totalsRowFunction="count" dataDxfId="87" totalsRowDxfId="86"/>
    <tableColumn id="28" xr3:uid="{00000000-0010-0000-0A00-00001C000000}" name="27" totalsRowFunction="count" dataDxfId="85" totalsRowDxfId="84"/>
    <tableColumn id="29" xr3:uid="{00000000-0010-0000-0A00-00001D000000}" name="28" totalsRowFunction="count" dataDxfId="83" totalsRowDxfId="82"/>
    <tableColumn id="30" xr3:uid="{00000000-0010-0000-0A00-00001E000000}" name="29" totalsRowFunction="count" dataDxfId="81" totalsRowDxfId="80"/>
    <tableColumn id="31" xr3:uid="{00000000-0010-0000-0A00-00001F000000}" name="30" totalsRowFunction="sum" dataDxfId="79" totalsRowDxfId="78"/>
    <tableColumn id="32" xr3:uid="{00000000-0010-0000-0A00-000020000000}" name=" " totalsRowFunction="sum" dataDxfId="77" totalsRowDxfId="76" dataCellStyle="Total"/>
    <tableColumn id="33" xr3:uid="{00000000-0010-0000-0A00-000021000000}" name="Total days" totalsRowFunction="sum" dataDxfId="75" totalsRowDxfId="74" dataCellStyle="Total">
      <calculatedColumnFormula>COUNTA(November[[#This Row],[1]:[ ]])</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December" displayName="December" ref="B8:AH14" totalsRowCount="1" headerRowDxfId="68" dataDxfId="67" totalsRowDxfId="66">
  <tableColumns count="33">
    <tableColumn id="1" xr3:uid="{00000000-0010-0000-0B00-000001000000}" name="Employee name" totalsRowFunction="custom" dataDxfId="65" totalsRowDxfId="64" dataCellStyle="Employee">
      <totalsRowFormula>MonthName&amp;" Total"</totalsRowFormula>
    </tableColumn>
    <tableColumn id="2" xr3:uid="{00000000-0010-0000-0B00-000002000000}" name="1" totalsRowFunction="count" dataDxfId="63" totalsRowDxfId="62"/>
    <tableColumn id="3" xr3:uid="{00000000-0010-0000-0B00-000003000000}" name="2" totalsRowFunction="count" dataDxfId="61" totalsRowDxfId="60"/>
    <tableColumn id="4" xr3:uid="{00000000-0010-0000-0B00-000004000000}" name="3" totalsRowFunction="count" dataDxfId="59" totalsRowDxfId="58"/>
    <tableColumn id="5" xr3:uid="{00000000-0010-0000-0B00-000005000000}" name="4" totalsRowFunction="count" dataDxfId="57" totalsRowDxfId="56"/>
    <tableColumn id="6" xr3:uid="{00000000-0010-0000-0B00-000006000000}" name="5" totalsRowFunction="count" dataDxfId="55" totalsRowDxfId="54"/>
    <tableColumn id="7" xr3:uid="{00000000-0010-0000-0B00-000007000000}" name="6" totalsRowFunction="count" dataDxfId="53" totalsRowDxfId="52"/>
    <tableColumn id="8" xr3:uid="{00000000-0010-0000-0B00-000008000000}" name="7" totalsRowFunction="count" dataDxfId="51" totalsRowDxfId="50"/>
    <tableColumn id="9" xr3:uid="{00000000-0010-0000-0B00-000009000000}" name="8" totalsRowFunction="count" dataDxfId="49" totalsRowDxfId="48"/>
    <tableColumn id="10" xr3:uid="{00000000-0010-0000-0B00-00000A000000}" name="9" totalsRowFunction="count" dataDxfId="47" totalsRowDxfId="46"/>
    <tableColumn id="11" xr3:uid="{00000000-0010-0000-0B00-00000B000000}" name="10" totalsRowFunction="count" dataDxfId="45" totalsRowDxfId="44"/>
    <tableColumn id="12" xr3:uid="{00000000-0010-0000-0B00-00000C000000}" name="11" totalsRowFunction="count" dataDxfId="43" totalsRowDxfId="42"/>
    <tableColumn id="13" xr3:uid="{00000000-0010-0000-0B00-00000D000000}" name="12" totalsRowFunction="count" dataDxfId="41" totalsRowDxfId="40"/>
    <tableColumn id="14" xr3:uid="{00000000-0010-0000-0B00-00000E000000}" name="13" totalsRowFunction="count" dataDxfId="39" totalsRowDxfId="38"/>
    <tableColumn id="15" xr3:uid="{00000000-0010-0000-0B00-00000F000000}" name="14" totalsRowFunction="count" dataDxfId="37" totalsRowDxfId="36"/>
    <tableColumn id="16" xr3:uid="{00000000-0010-0000-0B00-000010000000}" name="15" totalsRowFunction="count" dataDxfId="35" totalsRowDxfId="34"/>
    <tableColumn id="17" xr3:uid="{00000000-0010-0000-0B00-000011000000}" name="16" totalsRowFunction="count" dataDxfId="33" totalsRowDxfId="32"/>
    <tableColumn id="18" xr3:uid="{00000000-0010-0000-0B00-000012000000}" name="17" totalsRowFunction="count" dataDxfId="31" totalsRowDxfId="30"/>
    <tableColumn id="19" xr3:uid="{00000000-0010-0000-0B00-000013000000}" name="18" totalsRowFunction="count" dataDxfId="29" totalsRowDxfId="28"/>
    <tableColumn id="20" xr3:uid="{00000000-0010-0000-0B00-000014000000}" name="19" totalsRowFunction="count" dataDxfId="27" totalsRowDxfId="26"/>
    <tableColumn id="21" xr3:uid="{00000000-0010-0000-0B00-000015000000}" name="20" totalsRowFunction="count" dataDxfId="25" totalsRowDxfId="24"/>
    <tableColumn id="22" xr3:uid="{00000000-0010-0000-0B00-000016000000}" name="21" totalsRowFunction="count" dataDxfId="23" totalsRowDxfId="22"/>
    <tableColumn id="23" xr3:uid="{00000000-0010-0000-0B00-000017000000}" name="22" totalsRowFunction="count" dataDxfId="21" totalsRowDxfId="20"/>
    <tableColumn id="24" xr3:uid="{00000000-0010-0000-0B00-000018000000}" name="23" totalsRowFunction="count" dataDxfId="19" totalsRowDxfId="18"/>
    <tableColumn id="25" xr3:uid="{00000000-0010-0000-0B00-000019000000}" name="24" totalsRowFunction="count" dataDxfId="17" totalsRowDxfId="16"/>
    <tableColumn id="26" xr3:uid="{00000000-0010-0000-0B00-00001A000000}" name="25" totalsRowFunction="count" dataDxfId="15" totalsRowDxfId="14"/>
    <tableColumn id="27" xr3:uid="{00000000-0010-0000-0B00-00001B000000}" name="26" totalsRowFunction="count" dataDxfId="13" totalsRowDxfId="12"/>
    <tableColumn id="28" xr3:uid="{00000000-0010-0000-0B00-00001C000000}" name="27" totalsRowFunction="count" dataDxfId="11" totalsRowDxfId="10"/>
    <tableColumn id="29" xr3:uid="{00000000-0010-0000-0B00-00001D000000}" name="28" totalsRowFunction="count" dataDxfId="9" totalsRowDxfId="8"/>
    <tableColumn id="30" xr3:uid="{00000000-0010-0000-0B00-00001E000000}" name="29" totalsRowFunction="count" dataDxfId="7" totalsRowDxfId="6"/>
    <tableColumn id="31" xr3:uid="{00000000-0010-0000-0B00-00001F000000}" name="30" totalsRowFunction="sum" dataDxfId="5" totalsRowDxfId="4"/>
    <tableColumn id="32" xr3:uid="{00000000-0010-0000-0B00-000020000000}" name="31" totalsRowFunction="sum" dataDxfId="3" totalsRowDxfId="2" dataCellStyle="Total"/>
    <tableColumn id="33" xr3:uid="{00000000-0010-0000-0B00-000021000000}" name="Total days" totalsRowFunction="sum" dataDxfId="1" totalsRowDxfId="0" dataCellStyle="Total">
      <calculatedColumnFormula>COUNTA(December[[#This Row],[1]:[31]])</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s a list of names and calendar dates to record employees' absenteeism and specific absence type, such as V=Vacation, S=Sick, P=Personal and two placeholders for custom entri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EmployeeName" displayName="EmployeeName" ref="B3:B8" totalsRowShown="0" dataCellStyle="Employee">
  <autoFilter ref="B3:B8" xr:uid="{00000000-0009-0000-0100-00000D000000}"/>
  <tableColumns count="1">
    <tableColumn id="1" xr3:uid="{00000000-0010-0000-0C00-000001000000}" name="Employee Names" dataCellStyle="Employee"/>
  </tableColumns>
  <tableStyleInfo name="Employee Absence Table" showFirstColumn="1" showLastColumn="1" showRowStripes="1" showColumnStripes="0"/>
  <extLst>
    <ext xmlns:x14="http://schemas.microsoft.com/office/spreadsheetml/2009/9/main" uri="{504A1905-F514-4f6f-8877-14C23A59335A}">
      <x14:table altTextSummary="Enter employee names in this table. These names are used as options in each month's absence schedule columm B"/>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ebruary" displayName="February" ref="B8:AH14" totalsRowCount="1" headerRowDxfId="808" dataDxfId="807" totalsRowDxfId="806">
  <tableColumns count="33">
    <tableColumn id="1" xr3:uid="{00000000-0010-0000-0100-000001000000}" name="Employee name" totalsRowFunction="custom" dataDxfId="805" totalsRowDxfId="804" dataCellStyle="Employee">
      <totalsRowFormula>MonthName&amp;" total"</totalsRowFormula>
    </tableColumn>
    <tableColumn id="2" xr3:uid="{00000000-0010-0000-0100-000002000000}" name="1" totalsRowFunction="count" dataDxfId="803" totalsRowDxfId="802" dataCellStyle="Total"/>
    <tableColumn id="3" xr3:uid="{00000000-0010-0000-0100-000003000000}" name="2" totalsRowFunction="count" dataDxfId="801" totalsRowDxfId="800" dataCellStyle="Total"/>
    <tableColumn id="4" xr3:uid="{00000000-0010-0000-0100-000004000000}" name="3" totalsRowFunction="count" dataDxfId="799" totalsRowDxfId="798" dataCellStyle="Total"/>
    <tableColumn id="5" xr3:uid="{00000000-0010-0000-0100-000005000000}" name="4" totalsRowFunction="count" dataDxfId="797" totalsRowDxfId="796" dataCellStyle="Total"/>
    <tableColumn id="6" xr3:uid="{00000000-0010-0000-0100-000006000000}" name="5" totalsRowFunction="count" dataDxfId="795" totalsRowDxfId="794" dataCellStyle="Total"/>
    <tableColumn id="7" xr3:uid="{00000000-0010-0000-0100-000007000000}" name="6" totalsRowFunction="count" dataDxfId="793" totalsRowDxfId="792" dataCellStyle="Total"/>
    <tableColumn id="8" xr3:uid="{00000000-0010-0000-0100-000008000000}" name="7" totalsRowFunction="count" dataDxfId="791" totalsRowDxfId="790" dataCellStyle="Total"/>
    <tableColumn id="9" xr3:uid="{00000000-0010-0000-0100-000009000000}" name="8" totalsRowFunction="count" dataDxfId="789" totalsRowDxfId="788" dataCellStyle="Total"/>
    <tableColumn id="10" xr3:uid="{00000000-0010-0000-0100-00000A000000}" name="9" totalsRowFunction="count" dataDxfId="787" totalsRowDxfId="786" dataCellStyle="Total"/>
    <tableColumn id="11" xr3:uid="{00000000-0010-0000-0100-00000B000000}" name="10" totalsRowFunction="count" dataDxfId="785" totalsRowDxfId="784" dataCellStyle="Total"/>
    <tableColumn id="12" xr3:uid="{00000000-0010-0000-0100-00000C000000}" name="11" totalsRowFunction="count" dataDxfId="783" totalsRowDxfId="782" dataCellStyle="Total"/>
    <tableColumn id="13" xr3:uid="{00000000-0010-0000-0100-00000D000000}" name="12" totalsRowFunction="count" dataDxfId="781" totalsRowDxfId="780" dataCellStyle="Total"/>
    <tableColumn id="14" xr3:uid="{00000000-0010-0000-0100-00000E000000}" name="13" totalsRowFunction="count" dataDxfId="779" totalsRowDxfId="778" dataCellStyle="Total"/>
    <tableColumn id="15" xr3:uid="{00000000-0010-0000-0100-00000F000000}" name="14" totalsRowFunction="count" dataDxfId="777" totalsRowDxfId="776" dataCellStyle="Total"/>
    <tableColumn id="16" xr3:uid="{00000000-0010-0000-0100-000010000000}" name="15" totalsRowFunction="count" dataDxfId="775" totalsRowDxfId="774" dataCellStyle="Total"/>
    <tableColumn id="17" xr3:uid="{00000000-0010-0000-0100-000011000000}" name="16" totalsRowFunction="count" dataDxfId="773" totalsRowDxfId="772" dataCellStyle="Total"/>
    <tableColumn id="18" xr3:uid="{00000000-0010-0000-0100-000012000000}" name="17" totalsRowFunction="count" dataDxfId="771" totalsRowDxfId="770" dataCellStyle="Total"/>
    <tableColumn id="19" xr3:uid="{00000000-0010-0000-0100-000013000000}" name="18" totalsRowFunction="count" dataDxfId="769" totalsRowDxfId="768" dataCellStyle="Total"/>
    <tableColumn id="20" xr3:uid="{00000000-0010-0000-0100-000014000000}" name="19" totalsRowFunction="count" dataDxfId="767" totalsRowDxfId="766" dataCellStyle="Total"/>
    <tableColumn id="21" xr3:uid="{00000000-0010-0000-0100-000015000000}" name="20" totalsRowFunction="count" dataDxfId="765" totalsRowDxfId="764" dataCellStyle="Total"/>
    <tableColumn id="22" xr3:uid="{00000000-0010-0000-0100-000016000000}" name="21" totalsRowFunction="count" dataDxfId="763" totalsRowDxfId="762" dataCellStyle="Total"/>
    <tableColumn id="23" xr3:uid="{00000000-0010-0000-0100-000017000000}" name="22" totalsRowFunction="count" dataDxfId="761" totalsRowDxfId="760" dataCellStyle="Total"/>
    <tableColumn id="24" xr3:uid="{00000000-0010-0000-0100-000018000000}" name="23" totalsRowFunction="count" dataDxfId="759" totalsRowDxfId="758" dataCellStyle="Total"/>
    <tableColumn id="25" xr3:uid="{00000000-0010-0000-0100-000019000000}" name="24" totalsRowFunction="count" dataDxfId="757" totalsRowDxfId="756" dataCellStyle="Total"/>
    <tableColumn id="26" xr3:uid="{00000000-0010-0000-0100-00001A000000}" name="25" totalsRowFunction="count" dataDxfId="755" totalsRowDxfId="754" dataCellStyle="Total"/>
    <tableColumn id="27" xr3:uid="{00000000-0010-0000-0100-00001B000000}" name="26" totalsRowFunction="count" dataDxfId="753" totalsRowDxfId="752" dataCellStyle="Total"/>
    <tableColumn id="28" xr3:uid="{00000000-0010-0000-0100-00001C000000}" name="27" totalsRowFunction="count" dataDxfId="751" totalsRowDxfId="750" dataCellStyle="Total"/>
    <tableColumn id="29" xr3:uid="{00000000-0010-0000-0100-00001D000000}" name="28" totalsRowFunction="count" dataDxfId="749" totalsRowDxfId="748" dataCellStyle="Total"/>
    <tableColumn id="30" xr3:uid="{00000000-0010-0000-0100-00001E000000}" name="29" totalsRowFunction="count" dataDxfId="747" totalsRowDxfId="746" dataCellStyle="Total"/>
    <tableColumn id="31" xr3:uid="{00000000-0010-0000-0100-00001F000000}" name=" " dataDxfId="745" totalsRowDxfId="744" dataCellStyle="Total"/>
    <tableColumn id="32" xr3:uid="{00000000-0010-0000-0100-000020000000}" name="  " dataDxfId="743" totalsRowDxfId="742" dataCellStyle="Total"/>
    <tableColumn id="33" xr3:uid="{00000000-0010-0000-0100-000021000000}" name="Total days" totalsRowFunction="sum" dataDxfId="741" totalsRowDxfId="740" dataCellStyle="Total">
      <calculatedColumnFormula>COUNTA(February[[#This Row],[1]:[29]])</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March" displayName="March" ref="B8:AH14" totalsRowCount="1" headerRowDxfId="734" dataDxfId="733" totalsRowDxfId="732">
  <tableColumns count="33">
    <tableColumn id="1" xr3:uid="{00000000-0010-0000-0200-000001000000}" name="Employee name" totalsRowFunction="custom" dataDxfId="731" totalsRowDxfId="730" dataCellStyle="Employee">
      <totalsRowFormula>MonthName&amp;" Total"</totalsRowFormula>
    </tableColumn>
    <tableColumn id="2" xr3:uid="{00000000-0010-0000-0200-000002000000}" name="1" totalsRowFunction="count" dataDxfId="729" totalsRowDxfId="728"/>
    <tableColumn id="3" xr3:uid="{00000000-0010-0000-0200-000003000000}" name="2" totalsRowFunction="count" dataDxfId="727" totalsRowDxfId="726"/>
    <tableColumn id="4" xr3:uid="{00000000-0010-0000-0200-000004000000}" name="3" totalsRowFunction="count" dataDxfId="725" totalsRowDxfId="724"/>
    <tableColumn id="5" xr3:uid="{00000000-0010-0000-0200-000005000000}" name="4" totalsRowFunction="count" dataDxfId="723" totalsRowDxfId="722"/>
    <tableColumn id="6" xr3:uid="{00000000-0010-0000-0200-000006000000}" name="5" totalsRowFunction="count" dataDxfId="721" totalsRowDxfId="720"/>
    <tableColumn id="7" xr3:uid="{00000000-0010-0000-0200-000007000000}" name="6" totalsRowFunction="count" dataDxfId="719" totalsRowDxfId="718"/>
    <tableColumn id="8" xr3:uid="{00000000-0010-0000-0200-000008000000}" name="7" totalsRowFunction="count" dataDxfId="717" totalsRowDxfId="716"/>
    <tableColumn id="9" xr3:uid="{00000000-0010-0000-0200-000009000000}" name="8" totalsRowFunction="count" dataDxfId="715" totalsRowDxfId="714"/>
    <tableColumn id="10" xr3:uid="{00000000-0010-0000-0200-00000A000000}" name="9" totalsRowFunction="count" dataDxfId="713" totalsRowDxfId="712"/>
    <tableColumn id="11" xr3:uid="{00000000-0010-0000-0200-00000B000000}" name="10" totalsRowFunction="count" dataDxfId="711" totalsRowDxfId="710"/>
    <tableColumn id="12" xr3:uid="{00000000-0010-0000-0200-00000C000000}" name="11" totalsRowFunction="count" dataDxfId="709" totalsRowDxfId="708"/>
    <tableColumn id="13" xr3:uid="{00000000-0010-0000-0200-00000D000000}" name="12" totalsRowFunction="count" dataDxfId="707" totalsRowDxfId="706"/>
    <tableColumn id="14" xr3:uid="{00000000-0010-0000-0200-00000E000000}" name="13" totalsRowFunction="count" dataDxfId="705" totalsRowDxfId="704"/>
    <tableColumn id="15" xr3:uid="{00000000-0010-0000-0200-00000F000000}" name="14" totalsRowFunction="count" dataDxfId="703" totalsRowDxfId="702"/>
    <tableColumn id="16" xr3:uid="{00000000-0010-0000-0200-000010000000}" name="15" totalsRowFunction="count" dataDxfId="701" totalsRowDxfId="700"/>
    <tableColumn id="17" xr3:uid="{00000000-0010-0000-0200-000011000000}" name="16" totalsRowFunction="count" dataDxfId="699" totalsRowDxfId="698"/>
    <tableColumn id="18" xr3:uid="{00000000-0010-0000-0200-000012000000}" name="17" totalsRowFunction="count" dataDxfId="697" totalsRowDxfId="696"/>
    <tableColumn id="19" xr3:uid="{00000000-0010-0000-0200-000013000000}" name="18" totalsRowFunction="count" dataDxfId="695" totalsRowDxfId="694"/>
    <tableColumn id="20" xr3:uid="{00000000-0010-0000-0200-000014000000}" name="19" totalsRowFunction="count" dataDxfId="693" totalsRowDxfId="692"/>
    <tableColumn id="21" xr3:uid="{00000000-0010-0000-0200-000015000000}" name="20" totalsRowFunction="count" dataDxfId="691" totalsRowDxfId="690"/>
    <tableColumn id="22" xr3:uid="{00000000-0010-0000-0200-000016000000}" name="21" totalsRowFunction="count" dataDxfId="689" totalsRowDxfId="688"/>
    <tableColumn id="23" xr3:uid="{00000000-0010-0000-0200-000017000000}" name="22" totalsRowFunction="count" dataDxfId="687" totalsRowDxfId="686"/>
    <tableColumn id="24" xr3:uid="{00000000-0010-0000-0200-000018000000}" name="23" totalsRowFunction="count" dataDxfId="685" totalsRowDxfId="684"/>
    <tableColumn id="25" xr3:uid="{00000000-0010-0000-0200-000019000000}" name="24" totalsRowFunction="count" dataDxfId="683" totalsRowDxfId="682"/>
    <tableColumn id="26" xr3:uid="{00000000-0010-0000-0200-00001A000000}" name="25" totalsRowFunction="count" dataDxfId="681" totalsRowDxfId="680"/>
    <tableColumn id="27" xr3:uid="{00000000-0010-0000-0200-00001B000000}" name="26" totalsRowFunction="count" dataDxfId="679" totalsRowDxfId="678"/>
    <tableColumn id="28" xr3:uid="{00000000-0010-0000-0200-00001C000000}" name="27" totalsRowFunction="count" dataDxfId="677" totalsRowDxfId="676"/>
    <tableColumn id="29" xr3:uid="{00000000-0010-0000-0200-00001D000000}" name="28" totalsRowFunction="count" dataDxfId="675" totalsRowDxfId="674"/>
    <tableColumn id="30" xr3:uid="{00000000-0010-0000-0200-00001E000000}" name="29" totalsRowFunction="count" dataDxfId="673" totalsRowDxfId="672"/>
    <tableColumn id="31" xr3:uid="{00000000-0010-0000-0200-00001F000000}" name="30" totalsRowFunction="sum" dataDxfId="671" totalsRowDxfId="670"/>
    <tableColumn id="32" xr3:uid="{00000000-0010-0000-0200-000020000000}" name="31" totalsRowFunction="sum" dataDxfId="669" totalsRowDxfId="668" dataCellStyle="Total"/>
    <tableColumn id="33" xr3:uid="{00000000-0010-0000-0200-000021000000}" name="Total days" totalsRowFunction="sum" dataDxfId="667" totalsRowDxfId="666" dataCellStyle="Total">
      <calculatedColumnFormula>COUNTA(March[[#This Row],[1]:[31]])</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214BC2-F1A9-794B-922E-B532EC6BBFDF}" name="March5" displayName="March5" ref="B8:AH14" totalsRowCount="1" headerRowDxfId="660" dataDxfId="659" totalsRowDxfId="658">
  <tableColumns count="33">
    <tableColumn id="1" xr3:uid="{5251F992-E710-C643-B160-C37BB2131D31}" name="Employee name" totalsRowFunction="custom" dataDxfId="657" totalsRowDxfId="656" dataCellStyle="Employee">
      <totalsRowFormula>MonthName&amp;" Total"</totalsRowFormula>
    </tableColumn>
    <tableColumn id="2" xr3:uid="{9AEC3AA3-9F0E-4B4E-A8ED-026BAE9C428F}" name="1" totalsRowFunction="count" dataDxfId="655" totalsRowDxfId="654"/>
    <tableColumn id="3" xr3:uid="{55750F7A-05DD-CB41-95C5-BE1F874725AE}" name="2" totalsRowFunction="count" dataDxfId="653" totalsRowDxfId="652"/>
    <tableColumn id="4" xr3:uid="{259912E4-C37B-5145-B99B-93F989E18A49}" name="3" totalsRowFunction="count" dataDxfId="651" totalsRowDxfId="650"/>
    <tableColumn id="5" xr3:uid="{44743504-4BFF-3B46-87DE-A0AE5C8C9FC0}" name="4" totalsRowFunction="count" dataDxfId="649" totalsRowDxfId="648"/>
    <tableColumn id="6" xr3:uid="{471BE969-F222-D642-8D1A-B386CCC29AB2}" name="5" totalsRowFunction="count" dataDxfId="647" totalsRowDxfId="646"/>
    <tableColumn id="7" xr3:uid="{35FEC3F2-5280-D342-A070-AB9A3C3BCF0A}" name="6" totalsRowFunction="count" dataDxfId="645" totalsRowDxfId="644"/>
    <tableColumn id="8" xr3:uid="{D4047C63-7046-5242-9483-0BC31BD18200}" name="7" totalsRowFunction="count" dataDxfId="643" totalsRowDxfId="642"/>
    <tableColumn id="9" xr3:uid="{79A2B7D0-444A-5942-9296-2BD32E471C66}" name="8" totalsRowFunction="count" dataDxfId="641" totalsRowDxfId="640"/>
    <tableColumn id="10" xr3:uid="{B46D113E-7D39-5A43-BAA4-11739C4AD0C2}" name="9" totalsRowFunction="count" dataDxfId="639" totalsRowDxfId="638"/>
    <tableColumn id="11" xr3:uid="{977EC8E9-AEB6-3E40-BE79-A406D4D3444D}" name="10" totalsRowFunction="count" dataDxfId="637" totalsRowDxfId="636"/>
    <tableColumn id="12" xr3:uid="{42883C66-F682-394E-8D72-6C0286CB27EA}" name="11" totalsRowFunction="count" dataDxfId="635" totalsRowDxfId="634"/>
    <tableColumn id="13" xr3:uid="{9A10401F-4CF0-8641-BCEB-2237315C8881}" name="12" totalsRowFunction="count" dataDxfId="633" totalsRowDxfId="632"/>
    <tableColumn id="14" xr3:uid="{9C8C4D04-BE8B-FB44-9666-B515D905B2D6}" name="13" totalsRowFunction="count" dataDxfId="631" totalsRowDxfId="630"/>
    <tableColumn id="15" xr3:uid="{E996717D-17EC-B048-A561-2AD987D342D0}" name="14" totalsRowFunction="count" dataDxfId="629" totalsRowDxfId="628"/>
    <tableColumn id="16" xr3:uid="{3BFEBF2B-F60F-A142-86F2-75C9DC96AFDB}" name="15" totalsRowFunction="count" dataDxfId="627" totalsRowDxfId="626"/>
    <tableColumn id="17" xr3:uid="{0C97EF54-1361-BE43-8F7F-1BCE23E1AB5A}" name="16" totalsRowFunction="count" dataDxfId="625" totalsRowDxfId="624"/>
    <tableColumn id="18" xr3:uid="{257791F4-E1CB-0642-BD3B-FB1B81C57DF1}" name="17" totalsRowFunction="count" dataDxfId="623" totalsRowDxfId="622"/>
    <tableColumn id="19" xr3:uid="{BB7AB6EF-7B76-5946-B53A-22DB3EB1F3FC}" name="18" totalsRowFunction="count" dataDxfId="621" totalsRowDxfId="620"/>
    <tableColumn id="20" xr3:uid="{85AEA6C3-1E60-234F-8E68-DD23536D850B}" name="19" totalsRowFunction="count" dataDxfId="619" totalsRowDxfId="618"/>
    <tableColumn id="21" xr3:uid="{A73B9507-91D4-9B42-8C0E-1E0FB67905F8}" name="20" totalsRowFunction="count" dataDxfId="617" totalsRowDxfId="616"/>
    <tableColumn id="22" xr3:uid="{5C7BDCBF-0A5A-4549-B80B-C8343893EAF7}" name="21" totalsRowFunction="count" dataDxfId="615" totalsRowDxfId="614"/>
    <tableColumn id="23" xr3:uid="{EC439ECF-E0C6-5D41-9DA2-07E3E82FF691}" name="22" totalsRowFunction="count" dataDxfId="613" totalsRowDxfId="612"/>
    <tableColumn id="24" xr3:uid="{97854A72-AEC9-604B-B1D4-06EC15436469}" name="23" totalsRowFunction="count" dataDxfId="611" totalsRowDxfId="610"/>
    <tableColumn id="25" xr3:uid="{F701FD79-E584-DF4B-83E9-A152532FDD15}" name="24" totalsRowFunction="count" dataDxfId="609" totalsRowDxfId="608"/>
    <tableColumn id="26" xr3:uid="{C662F6C1-F102-5942-8719-E32AD8792020}" name="25" totalsRowFunction="count" dataDxfId="607" totalsRowDxfId="606"/>
    <tableColumn id="27" xr3:uid="{50B9E2E5-9F39-0F45-AE9B-4555A77D295D}" name="26" totalsRowFunction="count" dataDxfId="605" totalsRowDxfId="604"/>
    <tableColumn id="28" xr3:uid="{3E4AF3CF-CB70-0842-B373-83CF59CBDA1D}" name="27" totalsRowFunction="count" dataDxfId="603" totalsRowDxfId="602"/>
    <tableColumn id="29" xr3:uid="{C5FCD875-31A1-4B41-AAF6-09E535D80C81}" name="28" totalsRowFunction="count" dataDxfId="601" totalsRowDxfId="600"/>
    <tableColumn id="30" xr3:uid="{84F06E67-080B-CA42-8EEC-59690B041A03}" name="29" totalsRowFunction="count" dataDxfId="599" totalsRowDxfId="598"/>
    <tableColumn id="31" xr3:uid="{284765D5-58F9-F440-84EA-ACE449176ACA}" name="30" totalsRowFunction="sum" dataDxfId="597" totalsRowDxfId="596"/>
    <tableColumn id="32" xr3:uid="{9C77C5AD-4E19-B843-B9BE-2909F268D667}" name=" " totalsRowFunction="sum" dataDxfId="595" totalsRowDxfId="594" dataCellStyle="Total"/>
    <tableColumn id="33" xr3:uid="{0DA7656D-8525-2046-AEDA-1F40E411BD0D}" name="Total days" totalsRowFunction="sum" dataDxfId="593" totalsRowDxfId="592" dataCellStyle="Total">
      <calculatedColumnFormula>COUNTA(March5[[#This Row],[1]:[ ]])</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83FD69-EC79-6B43-9728-DBC90C3FDC77}" name="March58" displayName="March58" ref="B8:AH14" totalsRowCount="1" headerRowDxfId="586" dataDxfId="585" totalsRowDxfId="584">
  <tableColumns count="33">
    <tableColumn id="1" xr3:uid="{5910D0B6-76A8-1646-97A8-4AE2D1756125}" name="Employee name" totalsRowFunction="custom" dataDxfId="583" totalsRowDxfId="582" dataCellStyle="Employee">
      <totalsRowFormula>MonthName&amp;" Total"</totalsRowFormula>
    </tableColumn>
    <tableColumn id="2" xr3:uid="{69C27970-12EA-0E42-AF5F-351BA83FD215}" name="1" totalsRowFunction="count" dataDxfId="581" totalsRowDxfId="580"/>
    <tableColumn id="3" xr3:uid="{2DB67051-6E13-964F-86B0-B00AA9A5BFAF}" name="2" totalsRowFunction="count" dataDxfId="579" totalsRowDxfId="578"/>
    <tableColumn id="4" xr3:uid="{CF201FDD-65B9-BE4B-BE51-45EFCA258036}" name="3" totalsRowFunction="count" dataDxfId="577" totalsRowDxfId="576"/>
    <tableColumn id="5" xr3:uid="{E03823B4-0CCA-7D47-BCFD-4BB07A97D88C}" name="4" totalsRowFunction="count" dataDxfId="575" totalsRowDxfId="574"/>
    <tableColumn id="6" xr3:uid="{5F39FD90-2520-0847-B186-6CA5B07A072F}" name="5" totalsRowFunction="count" dataDxfId="573" totalsRowDxfId="572"/>
    <tableColumn id="7" xr3:uid="{D7992C25-6255-D54A-8B77-C3032B2914E8}" name="6" totalsRowFunction="count" dataDxfId="571" totalsRowDxfId="570"/>
    <tableColumn id="8" xr3:uid="{161AB8A2-4451-FA40-9408-833AFFC6D7CD}" name="7" totalsRowFunction="count" dataDxfId="569" totalsRowDxfId="568"/>
    <tableColumn id="9" xr3:uid="{82432B13-145C-AC4E-A84F-0C211DED3AEE}" name="8" totalsRowFunction="count" dataDxfId="567" totalsRowDxfId="566"/>
    <tableColumn id="10" xr3:uid="{994E3A00-A93E-8A4C-A93F-5DF73DB59AA5}" name="9" totalsRowFunction="count" dataDxfId="565" totalsRowDxfId="564"/>
    <tableColumn id="11" xr3:uid="{ADA642AC-6B5D-4749-B631-64A63466A02A}" name="10" totalsRowFunction="count" dataDxfId="563" totalsRowDxfId="562"/>
    <tableColumn id="12" xr3:uid="{E1D9D052-9150-4B4A-873C-04B0C9F0EAA0}" name="11" totalsRowFunction="count" dataDxfId="561" totalsRowDxfId="560"/>
    <tableColumn id="13" xr3:uid="{7804DD46-EEB3-7047-A68F-A81094B2F0E0}" name="12" totalsRowFunction="count" dataDxfId="559" totalsRowDxfId="558"/>
    <tableColumn id="14" xr3:uid="{39F98B96-5BF4-7747-A3D2-F58049C2C331}" name="13" totalsRowFunction="count" dataDxfId="557" totalsRowDxfId="556"/>
    <tableColumn id="15" xr3:uid="{8908FF7E-1791-CA41-8CF3-4A9F971974C3}" name="14" totalsRowFunction="count" dataDxfId="555" totalsRowDxfId="554"/>
    <tableColumn id="16" xr3:uid="{773FDBBE-AB42-A546-8329-8BDAEF4D06C4}" name="15" totalsRowFunction="count" dataDxfId="553" totalsRowDxfId="552"/>
    <tableColumn id="17" xr3:uid="{01EE92EC-B490-AF40-BDB2-290F1B1C3C58}" name="16" totalsRowFunction="count" dataDxfId="551" totalsRowDxfId="550"/>
    <tableColumn id="18" xr3:uid="{DF22A54C-2BE2-1340-BC66-FDDF323ABBE0}" name="17" totalsRowFunction="count" dataDxfId="549" totalsRowDxfId="548"/>
    <tableColumn id="19" xr3:uid="{BB1CDCA3-E15B-8D4E-ABE5-0D5BE02A950E}" name="18" totalsRowFunction="count" dataDxfId="547" totalsRowDxfId="546"/>
    <tableColumn id="20" xr3:uid="{4D5E657B-D9D2-8C4A-A4EB-E29B4B8BCF70}" name="19" totalsRowFunction="count" dataDxfId="545" totalsRowDxfId="544"/>
    <tableColumn id="21" xr3:uid="{B5D1019E-86BD-A146-A976-653D87FAC02B}" name="20" totalsRowFunction="count" dataDxfId="543" totalsRowDxfId="542"/>
    <tableColumn id="22" xr3:uid="{D1F7F5A1-B363-AC44-9332-4BA33D6CCEA8}" name="21" totalsRowFunction="count" dataDxfId="541" totalsRowDxfId="540"/>
    <tableColumn id="23" xr3:uid="{0EEDA366-AE45-0947-A354-D1B1BEB67F28}" name="22" totalsRowFunction="count" dataDxfId="539" totalsRowDxfId="538"/>
    <tableColumn id="24" xr3:uid="{8DB56569-FE6B-4249-B364-D76AC1D9BE79}" name="23" totalsRowFunction="count" dataDxfId="537" totalsRowDxfId="536"/>
    <tableColumn id="25" xr3:uid="{5BECBC0C-925A-8245-AD6D-847781A68957}" name="24" totalsRowFunction="count" dataDxfId="535" totalsRowDxfId="534"/>
    <tableColumn id="26" xr3:uid="{7D745BDB-6C53-8B4B-BA72-5FBDCB5D9CCC}" name="25" totalsRowFunction="count" dataDxfId="533" totalsRowDxfId="532"/>
    <tableColumn id="27" xr3:uid="{FA6FFB4C-5E6D-DA4E-8F87-EEC900B26695}" name="26" totalsRowFunction="count" dataDxfId="531" totalsRowDxfId="530"/>
    <tableColumn id="28" xr3:uid="{A50BDA94-D72B-C043-A8B2-E1E178EA827F}" name="27" totalsRowFunction="count" dataDxfId="529" totalsRowDxfId="528"/>
    <tableColumn id="29" xr3:uid="{D68B12D0-F485-FF42-B2E6-30EC0E2C418D}" name="28" totalsRowFunction="count" dataDxfId="527" totalsRowDxfId="526"/>
    <tableColumn id="30" xr3:uid="{695C2584-A6A5-D742-A768-02D19E90DEBC}" name="29" totalsRowFunction="count" dataDxfId="525" totalsRowDxfId="524"/>
    <tableColumn id="31" xr3:uid="{0B002160-8CE9-4B4E-A7A4-CFE8C54F8781}" name="30" totalsRowFunction="sum" dataDxfId="523" totalsRowDxfId="522"/>
    <tableColumn id="32" xr3:uid="{9A241B27-F77F-9E49-9678-7978D0423F17}" name="31" totalsRowFunction="sum" dataDxfId="521" totalsRowDxfId="520" dataCellStyle="Total"/>
    <tableColumn id="33" xr3:uid="{C85EB010-29D3-FD4A-9882-B705BDC3D2EF}" name="Total days" totalsRowFunction="sum" dataDxfId="519" totalsRowDxfId="518" dataCellStyle="Total">
      <calculatedColumnFormula>COUNTA(March58[[#This Row],[1]:[31]])</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June" displayName="June" ref="B8:AH14" totalsRowCount="1" headerRowDxfId="512" dataDxfId="511" totalsRowDxfId="510">
  <tableColumns count="33">
    <tableColumn id="1" xr3:uid="{00000000-0010-0000-0500-000001000000}" name="Employee name" totalsRowFunction="custom" dataDxfId="509" totalsRowDxfId="508" dataCellStyle="Employee">
      <totalsRowFormula>MonthName&amp;" Total"</totalsRowFormula>
    </tableColumn>
    <tableColumn id="2" xr3:uid="{00000000-0010-0000-0500-000002000000}" name="1" totalsRowFunction="count" dataDxfId="507" totalsRowDxfId="506"/>
    <tableColumn id="3" xr3:uid="{00000000-0010-0000-0500-000003000000}" name="2" totalsRowFunction="count" dataDxfId="505" totalsRowDxfId="504"/>
    <tableColumn id="4" xr3:uid="{00000000-0010-0000-0500-000004000000}" name="3" totalsRowFunction="count" dataDxfId="503" totalsRowDxfId="502"/>
    <tableColumn id="5" xr3:uid="{00000000-0010-0000-0500-000005000000}" name="4" totalsRowFunction="count" dataDxfId="501" totalsRowDxfId="500"/>
    <tableColumn id="6" xr3:uid="{00000000-0010-0000-0500-000006000000}" name="5" totalsRowFunction="count" dataDxfId="499" totalsRowDxfId="498"/>
    <tableColumn id="7" xr3:uid="{00000000-0010-0000-0500-000007000000}" name="6" totalsRowFunction="count" dataDxfId="497" totalsRowDxfId="496"/>
    <tableColumn id="8" xr3:uid="{00000000-0010-0000-0500-000008000000}" name="7" totalsRowFunction="count" dataDxfId="495" totalsRowDxfId="494"/>
    <tableColumn id="9" xr3:uid="{00000000-0010-0000-0500-000009000000}" name="8" totalsRowFunction="count" dataDxfId="493" totalsRowDxfId="492"/>
    <tableColumn id="10" xr3:uid="{00000000-0010-0000-0500-00000A000000}" name="9" totalsRowFunction="count" dataDxfId="491" totalsRowDxfId="490"/>
    <tableColumn id="11" xr3:uid="{00000000-0010-0000-0500-00000B000000}" name="10" totalsRowFunction="count" dataDxfId="489" totalsRowDxfId="488"/>
    <tableColumn id="12" xr3:uid="{00000000-0010-0000-0500-00000C000000}" name="11" totalsRowFunction="count" dataDxfId="487" totalsRowDxfId="486"/>
    <tableColumn id="13" xr3:uid="{00000000-0010-0000-0500-00000D000000}" name="12" totalsRowFunction="count" dataDxfId="485" totalsRowDxfId="484"/>
    <tableColumn id="14" xr3:uid="{00000000-0010-0000-0500-00000E000000}" name="13" totalsRowFunction="count" dataDxfId="483" totalsRowDxfId="482"/>
    <tableColumn id="15" xr3:uid="{00000000-0010-0000-0500-00000F000000}" name="14" totalsRowFunction="count" dataDxfId="481" totalsRowDxfId="480"/>
    <tableColumn id="16" xr3:uid="{00000000-0010-0000-0500-000010000000}" name="15" totalsRowFunction="count" dataDxfId="479" totalsRowDxfId="478"/>
    <tableColumn id="17" xr3:uid="{00000000-0010-0000-0500-000011000000}" name="16" totalsRowFunction="count" dataDxfId="477" totalsRowDxfId="476"/>
    <tableColumn id="18" xr3:uid="{00000000-0010-0000-0500-000012000000}" name="17" totalsRowFunction="count" dataDxfId="475" totalsRowDxfId="474"/>
    <tableColumn id="19" xr3:uid="{00000000-0010-0000-0500-000013000000}" name="18" totalsRowFunction="count" dataDxfId="473" totalsRowDxfId="472"/>
    <tableColumn id="20" xr3:uid="{00000000-0010-0000-0500-000014000000}" name="19" totalsRowFunction="count" dataDxfId="471" totalsRowDxfId="470"/>
    <tableColumn id="21" xr3:uid="{00000000-0010-0000-0500-000015000000}" name="20" totalsRowFunction="count" dataDxfId="469" totalsRowDxfId="468"/>
    <tableColumn id="22" xr3:uid="{00000000-0010-0000-0500-000016000000}" name="21" totalsRowFunction="count" dataDxfId="467" totalsRowDxfId="466"/>
    <tableColumn id="23" xr3:uid="{00000000-0010-0000-0500-000017000000}" name="22" totalsRowFunction="count" dataDxfId="465" totalsRowDxfId="464"/>
    <tableColumn id="24" xr3:uid="{00000000-0010-0000-0500-000018000000}" name="23" totalsRowFunction="count" dataDxfId="463" totalsRowDxfId="462"/>
    <tableColumn id="25" xr3:uid="{00000000-0010-0000-0500-000019000000}" name="24" totalsRowFunction="count" dataDxfId="461" totalsRowDxfId="460"/>
    <tableColumn id="26" xr3:uid="{00000000-0010-0000-0500-00001A000000}" name="25" totalsRowFunction="count" dataDxfId="459" totalsRowDxfId="458"/>
    <tableColumn id="27" xr3:uid="{00000000-0010-0000-0500-00001B000000}" name="26" totalsRowFunction="count" dataDxfId="457" totalsRowDxfId="456"/>
    <tableColumn id="28" xr3:uid="{00000000-0010-0000-0500-00001C000000}" name="27" totalsRowFunction="count" dataDxfId="455" totalsRowDxfId="454"/>
    <tableColumn id="29" xr3:uid="{00000000-0010-0000-0500-00001D000000}" name="28" totalsRowFunction="count" dataDxfId="453" totalsRowDxfId="452"/>
    <tableColumn id="30" xr3:uid="{00000000-0010-0000-0500-00001E000000}" name="29" totalsRowFunction="count" dataDxfId="451" totalsRowDxfId="450"/>
    <tableColumn id="31" xr3:uid="{00000000-0010-0000-0500-00001F000000}" name="30" totalsRowFunction="sum" dataDxfId="449" totalsRowDxfId="448"/>
    <tableColumn id="32" xr3:uid="{00000000-0010-0000-0500-000020000000}" name=" " totalsRowFunction="sum" dataDxfId="447" totalsRowDxfId="446" dataCellStyle="Total"/>
    <tableColumn id="33" xr3:uid="{00000000-0010-0000-0500-000021000000}" name="Total days" totalsRowFunction="sum" dataDxfId="445" totalsRowDxfId="444" dataCellStyle="Total">
      <calculatedColumnFormula>COUNTA(June[[#This Row],[1]:[ ]])</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July" displayName="July" ref="B8:AH14" totalsRowCount="1" headerRowDxfId="438" dataDxfId="437" totalsRowDxfId="436">
  <tableColumns count="33">
    <tableColumn id="1" xr3:uid="{00000000-0010-0000-0600-000001000000}" name="Employee name" totalsRowFunction="custom" dataDxfId="435" totalsRowDxfId="434" dataCellStyle="Employee">
      <totalsRowFormula>MonthName&amp;" Total"</totalsRowFormula>
    </tableColumn>
    <tableColumn id="2" xr3:uid="{00000000-0010-0000-0600-000002000000}" name="1" totalsRowFunction="count" dataDxfId="433" totalsRowDxfId="432"/>
    <tableColumn id="3" xr3:uid="{00000000-0010-0000-0600-000003000000}" name="2" totalsRowFunction="count" dataDxfId="431" totalsRowDxfId="430"/>
    <tableColumn id="4" xr3:uid="{00000000-0010-0000-0600-000004000000}" name="3" totalsRowFunction="count" dataDxfId="429" totalsRowDxfId="428"/>
    <tableColumn id="5" xr3:uid="{00000000-0010-0000-0600-000005000000}" name="4" totalsRowFunction="count" dataDxfId="427" totalsRowDxfId="426"/>
    <tableColumn id="6" xr3:uid="{00000000-0010-0000-0600-000006000000}" name="5" totalsRowFunction="count" dataDxfId="425" totalsRowDxfId="424"/>
    <tableColumn id="7" xr3:uid="{00000000-0010-0000-0600-000007000000}" name="6" totalsRowFunction="count" dataDxfId="423" totalsRowDxfId="422"/>
    <tableColumn id="8" xr3:uid="{00000000-0010-0000-0600-000008000000}" name="7" totalsRowFunction="count" dataDxfId="421" totalsRowDxfId="420"/>
    <tableColumn id="9" xr3:uid="{00000000-0010-0000-0600-000009000000}" name="8" totalsRowFunction="count" dataDxfId="419" totalsRowDxfId="418"/>
    <tableColumn id="10" xr3:uid="{00000000-0010-0000-0600-00000A000000}" name="9" totalsRowFunction="count" dataDxfId="417" totalsRowDxfId="416"/>
    <tableColumn id="11" xr3:uid="{00000000-0010-0000-0600-00000B000000}" name="10" totalsRowFunction="count" dataDxfId="415" totalsRowDxfId="414"/>
    <tableColumn id="12" xr3:uid="{00000000-0010-0000-0600-00000C000000}" name="11" totalsRowFunction="count" dataDxfId="413" totalsRowDxfId="412"/>
    <tableColumn id="13" xr3:uid="{00000000-0010-0000-0600-00000D000000}" name="12" totalsRowFunction="count" dataDxfId="411" totalsRowDxfId="410"/>
    <tableColumn id="14" xr3:uid="{00000000-0010-0000-0600-00000E000000}" name="13" totalsRowFunction="count" dataDxfId="409" totalsRowDxfId="408"/>
    <tableColumn id="15" xr3:uid="{00000000-0010-0000-0600-00000F000000}" name="14" totalsRowFunction="count" dataDxfId="407" totalsRowDxfId="406"/>
    <tableColumn id="16" xr3:uid="{00000000-0010-0000-0600-000010000000}" name="15" totalsRowFunction="count" dataDxfId="405" totalsRowDxfId="404"/>
    <tableColumn id="17" xr3:uid="{00000000-0010-0000-0600-000011000000}" name="16" totalsRowFunction="count" dataDxfId="403" totalsRowDxfId="402"/>
    <tableColumn id="18" xr3:uid="{00000000-0010-0000-0600-000012000000}" name="17" totalsRowFunction="count" dataDxfId="401" totalsRowDxfId="400"/>
    <tableColumn id="19" xr3:uid="{00000000-0010-0000-0600-000013000000}" name="18" totalsRowFunction="count" dataDxfId="399" totalsRowDxfId="398"/>
    <tableColumn id="20" xr3:uid="{00000000-0010-0000-0600-000014000000}" name="19" totalsRowFunction="count" dataDxfId="397" totalsRowDxfId="396"/>
    <tableColumn id="21" xr3:uid="{00000000-0010-0000-0600-000015000000}" name="20" totalsRowFunction="count" dataDxfId="395" totalsRowDxfId="394"/>
    <tableColumn id="22" xr3:uid="{00000000-0010-0000-0600-000016000000}" name="21" totalsRowFunction="count" dataDxfId="393" totalsRowDxfId="392"/>
    <tableColumn id="23" xr3:uid="{00000000-0010-0000-0600-000017000000}" name="22" totalsRowFunction="count" dataDxfId="391" totalsRowDxfId="390"/>
    <tableColumn id="24" xr3:uid="{00000000-0010-0000-0600-000018000000}" name="23" totalsRowFunction="count" dataDxfId="389" totalsRowDxfId="388"/>
    <tableColumn id="25" xr3:uid="{00000000-0010-0000-0600-000019000000}" name="24" totalsRowFunction="count" dataDxfId="387" totalsRowDxfId="386"/>
    <tableColumn id="26" xr3:uid="{00000000-0010-0000-0600-00001A000000}" name="25" totalsRowFunction="count" dataDxfId="385" totalsRowDxfId="384"/>
    <tableColumn id="27" xr3:uid="{00000000-0010-0000-0600-00001B000000}" name="26" totalsRowFunction="count" dataDxfId="383" totalsRowDxfId="382"/>
    <tableColumn id="28" xr3:uid="{00000000-0010-0000-0600-00001C000000}" name="27" totalsRowFunction="count" dataDxfId="381" totalsRowDxfId="380"/>
    <tableColumn id="29" xr3:uid="{00000000-0010-0000-0600-00001D000000}" name="28" totalsRowFunction="count" dataDxfId="379" totalsRowDxfId="378"/>
    <tableColumn id="30" xr3:uid="{00000000-0010-0000-0600-00001E000000}" name="29" totalsRowFunction="count" dataDxfId="377" totalsRowDxfId="376"/>
    <tableColumn id="31" xr3:uid="{00000000-0010-0000-0600-00001F000000}" name="30" totalsRowFunction="sum" dataDxfId="375" totalsRowDxfId="374"/>
    <tableColumn id="32" xr3:uid="{00000000-0010-0000-0600-000020000000}" name="31" totalsRowFunction="sum" dataDxfId="373" totalsRowDxfId="372" dataCellStyle="Total"/>
    <tableColumn id="33" xr3:uid="{00000000-0010-0000-0600-000021000000}" name="Total days" totalsRowFunction="sum" dataDxfId="371" totalsRowDxfId="370" dataCellStyle="Total">
      <calculatedColumnFormula>COUNTA(July[[#This Row],[1]:[31]])</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7000000}" name="August" displayName="August" ref="B8:AH14" totalsRowCount="1" headerRowDxfId="364" dataDxfId="363" totalsRowDxfId="362">
  <tableColumns count="33">
    <tableColumn id="1" xr3:uid="{00000000-0010-0000-0700-000001000000}" name="Employee name" totalsRowFunction="custom" dataDxfId="361" totalsRowDxfId="360" dataCellStyle="Employee">
      <totalsRowFormula>MonthName&amp;" Total"</totalsRowFormula>
    </tableColumn>
    <tableColumn id="2" xr3:uid="{00000000-0010-0000-0700-000002000000}" name="1" totalsRowFunction="count" dataDxfId="359" totalsRowDxfId="358"/>
    <tableColumn id="3" xr3:uid="{00000000-0010-0000-0700-000003000000}" name="2" totalsRowFunction="count" dataDxfId="357" totalsRowDxfId="356"/>
    <tableColumn id="4" xr3:uid="{00000000-0010-0000-0700-000004000000}" name="3" totalsRowFunction="count" dataDxfId="355" totalsRowDxfId="354"/>
    <tableColumn id="5" xr3:uid="{00000000-0010-0000-0700-000005000000}" name="4" totalsRowFunction="count" dataDxfId="353" totalsRowDxfId="352"/>
    <tableColumn id="6" xr3:uid="{00000000-0010-0000-0700-000006000000}" name="5" totalsRowFunction="count" dataDxfId="351" totalsRowDxfId="350"/>
    <tableColumn id="7" xr3:uid="{00000000-0010-0000-0700-000007000000}" name="6" totalsRowFunction="count" dataDxfId="349" totalsRowDxfId="348"/>
    <tableColumn id="8" xr3:uid="{00000000-0010-0000-0700-000008000000}" name="7" totalsRowFunction="count" dataDxfId="347" totalsRowDxfId="346"/>
    <tableColumn id="9" xr3:uid="{00000000-0010-0000-0700-000009000000}" name="8" totalsRowFunction="count" dataDxfId="345" totalsRowDxfId="344"/>
    <tableColumn id="10" xr3:uid="{00000000-0010-0000-0700-00000A000000}" name="9" totalsRowFunction="count" dataDxfId="343" totalsRowDxfId="342"/>
    <tableColumn id="11" xr3:uid="{00000000-0010-0000-0700-00000B000000}" name="10" totalsRowFunction="count" dataDxfId="341" totalsRowDxfId="340"/>
    <tableColumn id="12" xr3:uid="{00000000-0010-0000-0700-00000C000000}" name="11" totalsRowFunction="count" dataDxfId="339" totalsRowDxfId="338"/>
    <tableColumn id="13" xr3:uid="{00000000-0010-0000-0700-00000D000000}" name="12" totalsRowFunction="count" dataDxfId="337" totalsRowDxfId="336"/>
    <tableColumn id="14" xr3:uid="{00000000-0010-0000-0700-00000E000000}" name="13" totalsRowFunction="count" dataDxfId="335" totalsRowDxfId="334"/>
    <tableColumn id="15" xr3:uid="{00000000-0010-0000-0700-00000F000000}" name="14" totalsRowFunction="count" dataDxfId="333" totalsRowDxfId="332"/>
    <tableColumn id="16" xr3:uid="{00000000-0010-0000-0700-000010000000}" name="15" totalsRowFunction="count" dataDxfId="331" totalsRowDxfId="330"/>
    <tableColumn id="17" xr3:uid="{00000000-0010-0000-0700-000011000000}" name="16" totalsRowFunction="count" dataDxfId="329" totalsRowDxfId="328"/>
    <tableColumn id="18" xr3:uid="{00000000-0010-0000-0700-000012000000}" name="17" totalsRowFunction="count" dataDxfId="327" totalsRowDxfId="326"/>
    <tableColumn id="19" xr3:uid="{00000000-0010-0000-0700-000013000000}" name="18" totalsRowFunction="count" dataDxfId="325" totalsRowDxfId="324"/>
    <tableColumn id="20" xr3:uid="{00000000-0010-0000-0700-000014000000}" name="19" totalsRowFunction="count" dataDxfId="323" totalsRowDxfId="322"/>
    <tableColumn id="21" xr3:uid="{00000000-0010-0000-0700-000015000000}" name="20" totalsRowFunction="count" dataDxfId="321" totalsRowDxfId="320"/>
    <tableColumn id="22" xr3:uid="{00000000-0010-0000-0700-000016000000}" name="21" totalsRowFunction="count" dataDxfId="319" totalsRowDxfId="318"/>
    <tableColumn id="23" xr3:uid="{00000000-0010-0000-0700-000017000000}" name="22" totalsRowFunction="count" dataDxfId="317" totalsRowDxfId="316"/>
    <tableColumn id="24" xr3:uid="{00000000-0010-0000-0700-000018000000}" name="23" totalsRowFunction="count" dataDxfId="315" totalsRowDxfId="314"/>
    <tableColumn id="25" xr3:uid="{00000000-0010-0000-0700-000019000000}" name="24" totalsRowFunction="count" dataDxfId="313" totalsRowDxfId="312"/>
    <tableColumn id="26" xr3:uid="{00000000-0010-0000-0700-00001A000000}" name="25" totalsRowFunction="count" dataDxfId="311" totalsRowDxfId="310"/>
    <tableColumn id="27" xr3:uid="{00000000-0010-0000-0700-00001B000000}" name="26" totalsRowFunction="count" dataDxfId="309" totalsRowDxfId="308"/>
    <tableColumn id="28" xr3:uid="{00000000-0010-0000-0700-00001C000000}" name="27" totalsRowFunction="count" dataDxfId="307" totalsRowDxfId="306"/>
    <tableColumn id="29" xr3:uid="{00000000-0010-0000-0700-00001D000000}" name="28" totalsRowFunction="count" dataDxfId="305" totalsRowDxfId="304"/>
    <tableColumn id="30" xr3:uid="{00000000-0010-0000-0700-00001E000000}" name="29" totalsRowFunction="count" dataDxfId="303" totalsRowDxfId="302"/>
    <tableColumn id="31" xr3:uid="{00000000-0010-0000-0700-00001F000000}" name="30" totalsRowFunction="sum" dataDxfId="301" totalsRowDxfId="300"/>
    <tableColumn id="32" xr3:uid="{00000000-0010-0000-0700-000020000000}" name="31" totalsRowFunction="sum" dataDxfId="299" totalsRowDxfId="298" dataCellStyle="Total"/>
    <tableColumn id="33" xr3:uid="{00000000-0010-0000-0700-000021000000}" name="Total days" totalsRowFunction="sum" dataDxfId="297" totalsRowDxfId="296" dataCellStyle="Total">
      <calculatedColumnFormula>COUNTA(August[[#This Row],[1]:[31]])</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September" displayName="September" ref="B8:AH14" totalsRowCount="1" headerRowDxfId="290" dataDxfId="289" totalsRowDxfId="288">
  <tableColumns count="33">
    <tableColumn id="1" xr3:uid="{00000000-0010-0000-0800-000001000000}" name="Employee name" totalsRowFunction="custom" dataDxfId="287" totalsRowDxfId="286" dataCellStyle="Employee">
      <totalsRowFormula>MonthName&amp;" Total"</totalsRowFormula>
    </tableColumn>
    <tableColumn id="2" xr3:uid="{00000000-0010-0000-0800-000002000000}" name="1" totalsRowFunction="count" dataDxfId="285" totalsRowDxfId="284"/>
    <tableColumn id="3" xr3:uid="{00000000-0010-0000-0800-000003000000}" name="2" totalsRowFunction="count" dataDxfId="283" totalsRowDxfId="282"/>
    <tableColumn id="4" xr3:uid="{00000000-0010-0000-0800-000004000000}" name="3" totalsRowFunction="count" dataDxfId="281" totalsRowDxfId="280"/>
    <tableColumn id="5" xr3:uid="{00000000-0010-0000-0800-000005000000}" name="4" totalsRowFunction="count" dataDxfId="279" totalsRowDxfId="278"/>
    <tableColumn id="6" xr3:uid="{00000000-0010-0000-0800-000006000000}" name="5" totalsRowFunction="count" dataDxfId="277" totalsRowDxfId="276"/>
    <tableColumn id="7" xr3:uid="{00000000-0010-0000-0800-000007000000}" name="6" totalsRowFunction="count" dataDxfId="275" totalsRowDxfId="274"/>
    <tableColumn id="8" xr3:uid="{00000000-0010-0000-0800-000008000000}" name="7" totalsRowFunction="count" dataDxfId="273" totalsRowDxfId="272"/>
    <tableColumn id="9" xr3:uid="{00000000-0010-0000-0800-000009000000}" name="8" totalsRowFunction="count" dataDxfId="271" totalsRowDxfId="270"/>
    <tableColumn id="10" xr3:uid="{00000000-0010-0000-0800-00000A000000}" name="9" totalsRowFunction="count" dataDxfId="269" totalsRowDxfId="268"/>
    <tableColumn id="11" xr3:uid="{00000000-0010-0000-0800-00000B000000}" name="10" totalsRowFunction="count" dataDxfId="267" totalsRowDxfId="266"/>
    <tableColumn id="12" xr3:uid="{00000000-0010-0000-0800-00000C000000}" name="11" totalsRowFunction="count" dataDxfId="265" totalsRowDxfId="264"/>
    <tableColumn id="13" xr3:uid="{00000000-0010-0000-0800-00000D000000}" name="12" totalsRowFunction="count" dataDxfId="263" totalsRowDxfId="262"/>
    <tableColumn id="14" xr3:uid="{00000000-0010-0000-0800-00000E000000}" name="13" totalsRowFunction="count" dataDxfId="261" totalsRowDxfId="260"/>
    <tableColumn id="15" xr3:uid="{00000000-0010-0000-0800-00000F000000}" name="14" totalsRowFunction="count" dataDxfId="259" totalsRowDxfId="258"/>
    <tableColumn id="16" xr3:uid="{00000000-0010-0000-0800-000010000000}" name="15" totalsRowFunction="count" dataDxfId="257" totalsRowDxfId="256"/>
    <tableColumn id="17" xr3:uid="{00000000-0010-0000-0800-000011000000}" name="16" totalsRowFunction="count" dataDxfId="255" totalsRowDxfId="254"/>
    <tableColumn id="18" xr3:uid="{00000000-0010-0000-0800-000012000000}" name="17" totalsRowFunction="count" dataDxfId="253" totalsRowDxfId="252"/>
    <tableColumn id="19" xr3:uid="{00000000-0010-0000-0800-000013000000}" name="18" totalsRowFunction="count" dataDxfId="251" totalsRowDxfId="250"/>
    <tableColumn id="20" xr3:uid="{00000000-0010-0000-0800-000014000000}" name="19" totalsRowFunction="count" dataDxfId="249" totalsRowDxfId="248"/>
    <tableColumn id="21" xr3:uid="{00000000-0010-0000-0800-000015000000}" name="20" totalsRowFunction="count" dataDxfId="247" totalsRowDxfId="246"/>
    <tableColumn id="22" xr3:uid="{00000000-0010-0000-0800-000016000000}" name="21" totalsRowFunction="count" dataDxfId="245" totalsRowDxfId="244"/>
    <tableColumn id="23" xr3:uid="{00000000-0010-0000-0800-000017000000}" name="22" totalsRowFunction="count" dataDxfId="243" totalsRowDxfId="242"/>
    <tableColumn id="24" xr3:uid="{00000000-0010-0000-0800-000018000000}" name="23" totalsRowFunction="count" dataDxfId="241" totalsRowDxfId="240"/>
    <tableColumn id="25" xr3:uid="{00000000-0010-0000-0800-000019000000}" name="24" totalsRowFunction="count" dataDxfId="239" totalsRowDxfId="238"/>
    <tableColumn id="26" xr3:uid="{00000000-0010-0000-0800-00001A000000}" name="25" totalsRowFunction="count" dataDxfId="237" totalsRowDxfId="236"/>
    <tableColumn id="27" xr3:uid="{00000000-0010-0000-0800-00001B000000}" name="26" totalsRowFunction="count" dataDxfId="235" totalsRowDxfId="234"/>
    <tableColumn id="28" xr3:uid="{00000000-0010-0000-0800-00001C000000}" name="27" totalsRowFunction="count" dataDxfId="233" totalsRowDxfId="232"/>
    <tableColumn id="29" xr3:uid="{00000000-0010-0000-0800-00001D000000}" name="28" totalsRowFunction="count" dataDxfId="231" totalsRowDxfId="230"/>
    <tableColumn id="30" xr3:uid="{00000000-0010-0000-0800-00001E000000}" name="29" totalsRowFunction="count" dataDxfId="229" totalsRowDxfId="228"/>
    <tableColumn id="31" xr3:uid="{00000000-0010-0000-0800-00001F000000}" name="30" totalsRowFunction="sum" dataDxfId="227" totalsRowDxfId="226"/>
    <tableColumn id="32" xr3:uid="{00000000-0010-0000-0800-000020000000}" name=" " totalsRowFunction="sum" dataDxfId="225" totalsRowDxfId="224" dataCellStyle="Total"/>
    <tableColumn id="33" xr3:uid="{00000000-0010-0000-0800-000021000000}" name="Total days" totalsRowFunction="sum" dataDxfId="223" totalsRowDxfId="222" dataCellStyle="Total">
      <calculatedColumnFormula>COUNTA(September[[#This Row],[1]:[ ]])</calculatedColumnFormula>
    </tableColumn>
  </tableColumns>
  <tableStyleInfo name="Employee Absence Table" showFirstColumn="1" showLastColumn="1" showRowStripes="1" showColumnStripes="0"/>
  <extLst>
    <ext xmlns:x14="http://schemas.microsoft.com/office/spreadsheetml/2009/9/main" uri="{504A1905-F514-4f6f-8877-14C23A59335A}">
      <x14:table altTextSummary="Provide employee names and dates of absence. Record the absence type per the key in row 12: V=Vacation, S=Sick, P=Personal and two placeholders for custom entr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Employee Absence Schedul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ricsafricaconsulting.com/"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467AD-8E97-4C16-8768-664156A9ACBA}">
  <dimension ref="A1:V27"/>
  <sheetViews>
    <sheetView tabSelected="1" workbookViewId="0">
      <selection activeCell="G13" sqref="G13"/>
    </sheetView>
  </sheetViews>
  <sheetFormatPr defaultRowHeight="15" x14ac:dyDescent="0.25"/>
  <cols>
    <col min="1" max="16384" width="9.140625" style="31"/>
  </cols>
  <sheetData>
    <row r="1" spans="1:22" ht="17.25" customHeight="1" x14ac:dyDescent="0.25">
      <c r="A1" s="41"/>
      <c r="B1" s="42"/>
      <c r="C1" s="42"/>
      <c r="D1" s="42"/>
      <c r="E1" s="42"/>
      <c r="F1" s="42"/>
      <c r="G1" s="45" t="s">
        <v>67</v>
      </c>
      <c r="H1" s="46"/>
      <c r="I1" s="46"/>
      <c r="J1" s="46"/>
      <c r="K1" s="46"/>
      <c r="L1" s="47"/>
      <c r="M1" s="29"/>
      <c r="N1" s="29"/>
      <c r="O1" s="29"/>
      <c r="P1" s="29"/>
      <c r="Q1" s="29"/>
      <c r="R1" s="29"/>
      <c r="S1" s="29"/>
      <c r="T1" s="29"/>
      <c r="U1" s="29"/>
      <c r="V1" s="30"/>
    </row>
    <row r="2" spans="1:22" ht="17.25" customHeight="1" x14ac:dyDescent="0.25">
      <c r="A2" s="43"/>
      <c r="B2" s="44"/>
      <c r="C2" s="44"/>
      <c r="D2" s="44"/>
      <c r="E2" s="44"/>
      <c r="F2" s="44"/>
      <c r="G2" s="48"/>
      <c r="H2" s="49"/>
      <c r="I2" s="49"/>
      <c r="J2" s="49"/>
      <c r="K2" s="49"/>
      <c r="L2" s="50"/>
      <c r="M2" s="29"/>
      <c r="N2" s="29"/>
      <c r="O2" s="29"/>
      <c r="P2" s="29"/>
      <c r="Q2" s="29"/>
      <c r="R2" s="29"/>
      <c r="S2" s="29"/>
      <c r="T2" s="29"/>
      <c r="U2" s="29"/>
      <c r="V2" s="30"/>
    </row>
    <row r="3" spans="1:22" ht="17.25" customHeight="1" x14ac:dyDescent="0.25">
      <c r="A3" s="43"/>
      <c r="B3" s="44"/>
      <c r="C3" s="44"/>
      <c r="D3" s="44"/>
      <c r="E3" s="44"/>
      <c r="F3" s="44"/>
      <c r="G3" s="48"/>
      <c r="H3" s="49"/>
      <c r="I3" s="49"/>
      <c r="J3" s="49"/>
      <c r="K3" s="49"/>
      <c r="L3" s="50"/>
      <c r="M3" s="29"/>
      <c r="N3" s="29"/>
      <c r="O3" s="29"/>
      <c r="P3" s="29"/>
      <c r="Q3" s="29"/>
      <c r="R3" s="29"/>
      <c r="S3" s="29"/>
      <c r="T3" s="29"/>
      <c r="U3" s="29"/>
      <c r="V3" s="30"/>
    </row>
    <row r="4" spans="1:22" ht="17.25" customHeight="1" x14ac:dyDescent="0.25">
      <c r="A4" s="43"/>
      <c r="B4" s="44"/>
      <c r="C4" s="44"/>
      <c r="D4" s="44"/>
      <c r="E4" s="44"/>
      <c r="F4" s="44"/>
      <c r="G4" s="48"/>
      <c r="H4" s="49"/>
      <c r="I4" s="49"/>
      <c r="J4" s="49"/>
      <c r="K4" s="49"/>
      <c r="L4" s="50"/>
      <c r="M4" s="29"/>
      <c r="N4" s="29"/>
      <c r="O4" s="29"/>
      <c r="P4" s="29"/>
      <c r="Q4" s="29"/>
      <c r="R4" s="29"/>
      <c r="S4" s="29"/>
      <c r="T4" s="29"/>
      <c r="U4" s="29"/>
      <c r="V4" s="30"/>
    </row>
    <row r="5" spans="1:22" ht="17.25" customHeight="1" x14ac:dyDescent="0.25">
      <c r="A5" s="43"/>
      <c r="B5" s="44"/>
      <c r="C5" s="44"/>
      <c r="D5" s="44"/>
      <c r="E5" s="44"/>
      <c r="F5" s="44"/>
      <c r="G5" s="48"/>
      <c r="H5" s="49"/>
      <c r="I5" s="49"/>
      <c r="J5" s="49"/>
      <c r="K5" s="49"/>
      <c r="L5" s="50"/>
      <c r="M5" s="29"/>
      <c r="N5" s="29"/>
      <c r="O5" s="29"/>
      <c r="P5" s="29"/>
      <c r="Q5" s="29"/>
      <c r="R5" s="29"/>
      <c r="S5" s="29"/>
      <c r="T5" s="29"/>
      <c r="U5" s="29"/>
      <c r="V5" s="30"/>
    </row>
    <row r="6" spans="1:22" ht="17.25" customHeight="1" x14ac:dyDescent="0.25">
      <c r="A6" s="43"/>
      <c r="B6" s="44"/>
      <c r="C6" s="44"/>
      <c r="D6" s="44"/>
      <c r="E6" s="44"/>
      <c r="F6" s="44"/>
      <c r="G6" s="48"/>
      <c r="H6" s="49"/>
      <c r="I6" s="49"/>
      <c r="J6" s="49"/>
      <c r="K6" s="49"/>
      <c r="L6" s="50"/>
      <c r="M6" s="29"/>
      <c r="N6" s="29"/>
      <c r="O6" s="29"/>
      <c r="P6" s="29"/>
      <c r="Q6" s="29"/>
      <c r="R6" s="29"/>
      <c r="S6" s="29"/>
      <c r="T6" s="29"/>
      <c r="U6" s="29"/>
      <c r="V6" s="30"/>
    </row>
    <row r="7" spans="1:22" ht="17.25" customHeight="1" x14ac:dyDescent="0.25">
      <c r="A7" s="43"/>
      <c r="B7" s="44"/>
      <c r="C7" s="44"/>
      <c r="D7" s="44"/>
      <c r="E7" s="44"/>
      <c r="F7" s="44"/>
      <c r="G7" s="48"/>
      <c r="H7" s="49"/>
      <c r="I7" s="49"/>
      <c r="J7" s="49"/>
      <c r="K7" s="49"/>
      <c r="L7" s="50"/>
      <c r="M7" s="29"/>
      <c r="N7" s="29"/>
      <c r="O7" s="29"/>
      <c r="P7" s="29"/>
      <c r="Q7" s="29"/>
      <c r="R7" s="29"/>
      <c r="S7" s="29"/>
      <c r="T7" s="29"/>
      <c r="U7" s="29"/>
      <c r="V7" s="30"/>
    </row>
    <row r="8" spans="1:22" ht="17.25" customHeight="1" x14ac:dyDescent="0.25">
      <c r="A8" s="43"/>
      <c r="B8" s="44"/>
      <c r="C8" s="44"/>
      <c r="D8" s="44"/>
      <c r="E8" s="44"/>
      <c r="F8" s="44"/>
      <c r="G8" s="48"/>
      <c r="H8" s="49"/>
      <c r="I8" s="49"/>
      <c r="J8" s="49"/>
      <c r="K8" s="49"/>
      <c r="L8" s="50"/>
      <c r="M8" s="29"/>
      <c r="N8" s="29"/>
      <c r="O8" s="29"/>
      <c r="P8" s="29"/>
      <c r="Q8" s="29"/>
      <c r="R8" s="29"/>
      <c r="S8" s="29"/>
      <c r="T8" s="29"/>
      <c r="U8" s="29"/>
      <c r="V8" s="30"/>
    </row>
    <row r="9" spans="1:22" ht="12" customHeight="1" x14ac:dyDescent="0.25">
      <c r="A9" s="43"/>
      <c r="B9" s="44"/>
      <c r="C9" s="44"/>
      <c r="D9" s="44"/>
      <c r="E9" s="44"/>
      <c r="F9" s="44"/>
      <c r="G9" s="48"/>
      <c r="H9" s="49"/>
      <c r="I9" s="49"/>
      <c r="J9" s="49"/>
      <c r="K9" s="49"/>
      <c r="L9" s="50"/>
      <c r="M9" s="29"/>
      <c r="N9" s="29"/>
      <c r="O9" s="29"/>
      <c r="P9" s="29"/>
      <c r="Q9" s="29"/>
      <c r="R9" s="29"/>
      <c r="S9" s="29"/>
      <c r="T9" s="29"/>
      <c r="U9" s="29"/>
      <c r="V9" s="30"/>
    </row>
    <row r="10" spans="1:22" ht="18.75" customHeight="1" x14ac:dyDescent="0.25">
      <c r="A10" s="43"/>
      <c r="B10" s="44"/>
      <c r="C10" s="44"/>
      <c r="D10" s="44"/>
      <c r="E10" s="44"/>
      <c r="F10" s="44"/>
      <c r="G10" s="48"/>
      <c r="H10" s="49"/>
      <c r="I10" s="49"/>
      <c r="J10" s="49"/>
      <c r="K10" s="49"/>
      <c r="L10" s="50"/>
      <c r="M10" s="29"/>
      <c r="N10" s="29"/>
      <c r="O10" s="29"/>
      <c r="P10" s="29"/>
      <c r="Q10" s="29"/>
      <c r="R10" s="29"/>
      <c r="S10" s="29"/>
      <c r="T10" s="29"/>
      <c r="U10" s="29"/>
      <c r="V10" s="30"/>
    </row>
    <row r="11" spans="1:22" ht="16.5" customHeight="1" x14ac:dyDescent="0.25">
      <c r="A11" s="43"/>
      <c r="B11" s="44"/>
      <c r="C11" s="44"/>
      <c r="D11" s="44"/>
      <c r="E11" s="44"/>
      <c r="F11" s="44"/>
      <c r="G11" s="48"/>
      <c r="H11" s="49"/>
      <c r="I11" s="49"/>
      <c r="J11" s="49"/>
      <c r="K11" s="49"/>
      <c r="L11" s="50"/>
      <c r="M11" s="29"/>
      <c r="N11" s="29"/>
      <c r="O11" s="29"/>
      <c r="P11" s="29"/>
      <c r="Q11" s="29"/>
      <c r="R11" s="29"/>
      <c r="S11" s="29"/>
      <c r="T11" s="29"/>
      <c r="U11" s="29"/>
      <c r="V11" s="30"/>
    </row>
    <row r="12" spans="1:22" ht="1.5" customHeight="1" x14ac:dyDescent="0.25">
      <c r="A12" s="43"/>
      <c r="B12" s="44"/>
      <c r="C12" s="44"/>
      <c r="D12" s="44"/>
      <c r="E12" s="44"/>
      <c r="F12" s="44"/>
      <c r="G12" s="48"/>
      <c r="H12" s="49"/>
      <c r="I12" s="49"/>
      <c r="J12" s="49"/>
      <c r="K12" s="49"/>
      <c r="L12" s="50"/>
      <c r="M12" s="29"/>
      <c r="N12" s="29"/>
      <c r="O12" s="29"/>
      <c r="P12" s="29"/>
      <c r="Q12" s="29"/>
      <c r="R12" s="29"/>
      <c r="S12" s="29"/>
      <c r="T12" s="29"/>
      <c r="U12" s="29"/>
      <c r="V12" s="30"/>
    </row>
    <row r="13" spans="1:22" ht="16.5" customHeight="1" x14ac:dyDescent="0.25">
      <c r="A13" s="32"/>
      <c r="B13" s="32"/>
      <c r="C13" s="32"/>
      <c r="D13" s="32"/>
      <c r="E13" s="32"/>
      <c r="F13" s="32"/>
      <c r="G13" s="33"/>
      <c r="H13" s="51" t="s">
        <v>65</v>
      </c>
      <c r="I13" s="51"/>
      <c r="J13" s="51"/>
      <c r="K13" s="51"/>
      <c r="L13" s="34"/>
      <c r="M13" s="29"/>
      <c r="N13" s="29"/>
      <c r="O13" s="29"/>
      <c r="P13" s="29"/>
      <c r="Q13" s="29"/>
      <c r="R13" s="29"/>
      <c r="S13" s="29"/>
      <c r="T13" s="29"/>
      <c r="U13" s="29"/>
      <c r="V13" s="30"/>
    </row>
    <row r="14" spans="1:22" ht="81" customHeight="1" thickBot="1" x14ac:dyDescent="0.3">
      <c r="A14" s="35"/>
      <c r="B14" s="35"/>
      <c r="C14" s="35"/>
      <c r="D14" s="35"/>
      <c r="E14" s="35"/>
      <c r="F14" s="35"/>
      <c r="G14" s="36"/>
      <c r="H14" s="52" t="s">
        <v>66</v>
      </c>
      <c r="I14" s="52"/>
      <c r="J14" s="52"/>
      <c r="K14" s="52"/>
      <c r="L14" s="37"/>
      <c r="M14" s="29"/>
      <c r="N14" s="29"/>
      <c r="O14" s="29"/>
      <c r="P14" s="29"/>
      <c r="Q14" s="29"/>
      <c r="R14" s="29"/>
      <c r="S14" s="29"/>
      <c r="T14" s="29"/>
      <c r="U14" s="29"/>
      <c r="V14" s="30"/>
    </row>
    <row r="15" spans="1:22" ht="23.25" customHeight="1" x14ac:dyDescent="0.25">
      <c r="A15" s="53"/>
      <c r="B15" s="53"/>
      <c r="C15" s="53"/>
      <c r="D15" s="53"/>
      <c r="E15" s="29"/>
      <c r="F15" s="29"/>
      <c r="G15" s="29"/>
      <c r="H15" s="29"/>
      <c r="I15" s="29"/>
      <c r="J15" s="29"/>
      <c r="K15" s="29"/>
      <c r="L15" s="29"/>
      <c r="M15" s="29"/>
      <c r="N15" s="29"/>
      <c r="O15" s="29"/>
      <c r="P15" s="29"/>
      <c r="Q15" s="29"/>
      <c r="R15" s="29"/>
      <c r="S15" s="29"/>
      <c r="T15" s="29"/>
      <c r="U15" s="29"/>
      <c r="V15" s="30"/>
    </row>
    <row r="16" spans="1:22" x14ac:dyDescent="0.25">
      <c r="A16" s="29"/>
      <c r="B16" s="29"/>
      <c r="C16" s="29"/>
      <c r="D16" s="29"/>
      <c r="E16" s="29"/>
      <c r="F16" s="29"/>
      <c r="G16" s="29"/>
      <c r="H16" s="29"/>
      <c r="I16" s="29"/>
      <c r="J16" s="29"/>
      <c r="K16" s="29"/>
      <c r="L16" s="29"/>
      <c r="M16" s="29"/>
      <c r="N16" s="29"/>
      <c r="O16" s="29"/>
      <c r="P16" s="29"/>
      <c r="Q16" s="29"/>
      <c r="R16" s="29"/>
      <c r="S16" s="29"/>
      <c r="T16" s="29"/>
      <c r="U16" s="29"/>
      <c r="V16" s="30"/>
    </row>
    <row r="17" spans="1:22" x14ac:dyDescent="0.25">
      <c r="A17" s="29"/>
      <c r="B17" s="29"/>
      <c r="C17" s="29"/>
      <c r="D17" s="29"/>
      <c r="E17" s="29"/>
      <c r="F17" s="29"/>
      <c r="G17" s="29"/>
      <c r="H17" s="29"/>
      <c r="I17" s="29"/>
      <c r="J17" s="29"/>
      <c r="K17" s="29"/>
      <c r="L17" s="29"/>
      <c r="M17" s="29"/>
      <c r="N17" s="29"/>
      <c r="O17" s="29"/>
      <c r="P17" s="29"/>
      <c r="Q17" s="29"/>
      <c r="R17" s="29"/>
      <c r="S17" s="29"/>
      <c r="T17" s="29"/>
      <c r="U17" s="29"/>
      <c r="V17" s="30"/>
    </row>
    <row r="18" spans="1:22" x14ac:dyDescent="0.25">
      <c r="A18" s="29"/>
      <c r="B18" s="29"/>
      <c r="C18" s="29"/>
      <c r="D18" s="29"/>
      <c r="E18" s="29"/>
      <c r="F18" s="29"/>
      <c r="G18" s="29"/>
      <c r="H18" s="29"/>
      <c r="I18" s="29"/>
      <c r="J18" s="29"/>
      <c r="K18" s="29"/>
      <c r="L18" s="29"/>
      <c r="M18" s="29"/>
      <c r="N18" s="29"/>
      <c r="O18" s="29"/>
      <c r="P18" s="29"/>
      <c r="Q18" s="29"/>
      <c r="R18" s="29"/>
      <c r="S18" s="29"/>
      <c r="T18" s="29"/>
      <c r="U18" s="29"/>
      <c r="V18" s="30"/>
    </row>
    <row r="19" spans="1:22" x14ac:dyDescent="0.25">
      <c r="A19" s="29"/>
      <c r="B19" s="29"/>
      <c r="C19" s="29"/>
      <c r="D19" s="29"/>
      <c r="E19" s="29"/>
      <c r="F19" s="29"/>
      <c r="G19" s="29"/>
      <c r="H19" s="29"/>
      <c r="I19" s="29"/>
      <c r="J19" s="29"/>
      <c r="K19" s="29"/>
      <c r="L19" s="29"/>
      <c r="M19" s="29"/>
      <c r="N19" s="29"/>
      <c r="O19" s="29"/>
      <c r="P19" s="29"/>
      <c r="Q19" s="29"/>
      <c r="R19" s="29"/>
      <c r="S19" s="29"/>
      <c r="T19" s="29"/>
      <c r="U19" s="29"/>
      <c r="V19" s="30"/>
    </row>
    <row r="20" spans="1:22" x14ac:dyDescent="0.25">
      <c r="A20" s="29"/>
      <c r="B20" s="29"/>
      <c r="C20" s="29"/>
      <c r="D20" s="29"/>
      <c r="E20" s="29"/>
      <c r="F20" s="29"/>
      <c r="G20" s="29"/>
      <c r="H20" s="29"/>
      <c r="I20" s="29"/>
      <c r="J20" s="29"/>
      <c r="K20" s="29"/>
      <c r="L20" s="29"/>
      <c r="M20" s="29"/>
      <c r="N20" s="29"/>
      <c r="O20" s="29"/>
      <c r="P20" s="29"/>
      <c r="Q20" s="29"/>
      <c r="R20" s="29"/>
      <c r="S20" s="29"/>
      <c r="T20" s="29"/>
      <c r="U20" s="29"/>
      <c r="V20" s="30"/>
    </row>
    <row r="21" spans="1:22" x14ac:dyDescent="0.25">
      <c r="A21" s="29"/>
      <c r="B21" s="29"/>
      <c r="C21" s="29"/>
      <c r="D21" s="29"/>
      <c r="E21" s="29"/>
      <c r="F21" s="29"/>
      <c r="G21" s="29"/>
      <c r="H21" s="29"/>
      <c r="I21" s="29"/>
      <c r="J21" s="29"/>
      <c r="K21" s="29"/>
      <c r="L21" s="29"/>
      <c r="M21" s="29"/>
      <c r="N21" s="29"/>
      <c r="O21" s="29"/>
      <c r="P21" s="29"/>
      <c r="Q21" s="29"/>
      <c r="R21" s="29"/>
      <c r="S21" s="29"/>
      <c r="T21" s="29"/>
      <c r="U21" s="29"/>
      <c r="V21" s="30"/>
    </row>
    <row r="22" spans="1:22" x14ac:dyDescent="0.25">
      <c r="A22" s="29"/>
      <c r="B22" s="29"/>
      <c r="C22" s="29"/>
      <c r="D22" s="29"/>
      <c r="E22" s="29"/>
      <c r="F22" s="29"/>
      <c r="G22" s="29"/>
      <c r="H22" s="29"/>
      <c r="I22" s="29"/>
      <c r="J22" s="29"/>
      <c r="K22" s="29"/>
      <c r="L22" s="29"/>
      <c r="M22" s="29"/>
      <c r="N22" s="29"/>
      <c r="O22" s="29"/>
      <c r="P22" s="29"/>
      <c r="Q22" s="29"/>
      <c r="R22" s="29"/>
      <c r="S22" s="29"/>
      <c r="T22" s="29"/>
      <c r="U22" s="29"/>
      <c r="V22" s="30"/>
    </row>
    <row r="23" spans="1:22" x14ac:dyDescent="0.25">
      <c r="A23" s="29"/>
      <c r="B23" s="29"/>
      <c r="C23" s="29"/>
      <c r="D23" s="29"/>
      <c r="E23" s="29"/>
      <c r="F23" s="29"/>
      <c r="G23" s="29"/>
      <c r="H23" s="29"/>
      <c r="I23" s="29"/>
      <c r="J23" s="29"/>
      <c r="K23" s="29"/>
      <c r="L23" s="29"/>
      <c r="M23" s="29"/>
      <c r="N23" s="29"/>
      <c r="O23" s="29"/>
      <c r="P23" s="29"/>
      <c r="Q23" s="29"/>
      <c r="R23" s="29"/>
      <c r="S23" s="29"/>
      <c r="T23" s="29"/>
      <c r="U23" s="29"/>
      <c r="V23" s="30"/>
    </row>
    <row r="24" spans="1:22" x14ac:dyDescent="0.25">
      <c r="A24" s="29"/>
      <c r="B24" s="29"/>
      <c r="C24" s="29"/>
      <c r="D24" s="29"/>
      <c r="E24" s="29"/>
      <c r="F24" s="29"/>
      <c r="G24" s="29"/>
      <c r="H24" s="29"/>
      <c r="I24" s="29"/>
      <c r="J24" s="29"/>
      <c r="K24" s="29"/>
      <c r="L24" s="29"/>
      <c r="M24" s="29"/>
      <c r="N24" s="29"/>
      <c r="O24" s="29"/>
      <c r="P24" s="29"/>
      <c r="Q24" s="29"/>
      <c r="R24" s="29"/>
      <c r="S24" s="29"/>
      <c r="T24" s="29"/>
      <c r="U24" s="29"/>
      <c r="V24" s="30"/>
    </row>
    <row r="25" spans="1:22" x14ac:dyDescent="0.25">
      <c r="A25" s="29"/>
      <c r="B25" s="29"/>
      <c r="C25" s="29"/>
      <c r="D25" s="29"/>
      <c r="E25" s="29"/>
      <c r="F25" s="29"/>
      <c r="G25" s="29"/>
      <c r="H25" s="29"/>
      <c r="I25" s="29"/>
      <c r="J25" s="29"/>
      <c r="K25" s="29"/>
      <c r="L25" s="29"/>
      <c r="M25" s="29"/>
      <c r="N25" s="29"/>
      <c r="O25" s="29"/>
      <c r="P25" s="29"/>
      <c r="Q25" s="29"/>
      <c r="R25" s="29"/>
      <c r="S25" s="29"/>
      <c r="T25" s="29"/>
      <c r="U25" s="29"/>
      <c r="V25" s="30"/>
    </row>
    <row r="26" spans="1:22" x14ac:dyDescent="0.25">
      <c r="A26" s="29"/>
      <c r="B26" s="29"/>
      <c r="C26" s="29"/>
      <c r="D26" s="29"/>
      <c r="E26" s="29"/>
      <c r="F26" s="29"/>
      <c r="G26" s="29"/>
      <c r="H26" s="29"/>
      <c r="I26" s="29"/>
      <c r="J26" s="29"/>
      <c r="K26" s="29"/>
      <c r="L26" s="29"/>
      <c r="M26" s="29"/>
      <c r="N26" s="29"/>
      <c r="O26" s="29"/>
      <c r="P26" s="29"/>
      <c r="Q26" s="29"/>
      <c r="R26" s="29"/>
      <c r="S26" s="29"/>
      <c r="T26" s="29"/>
      <c r="U26" s="29"/>
      <c r="V26" s="30"/>
    </row>
    <row r="27" spans="1:22" x14ac:dyDescent="0.25">
      <c r="A27" s="38"/>
      <c r="B27" s="38"/>
      <c r="C27" s="38"/>
      <c r="D27" s="38"/>
      <c r="E27" s="38"/>
      <c r="F27" s="38"/>
      <c r="G27" s="38"/>
      <c r="H27" s="38"/>
      <c r="I27" s="38"/>
      <c r="J27" s="38"/>
      <c r="K27" s="38"/>
      <c r="L27" s="38"/>
      <c r="M27" s="38"/>
      <c r="N27" s="38"/>
      <c r="O27" s="38"/>
      <c r="P27" s="38"/>
      <c r="Q27" s="38"/>
      <c r="R27" s="38"/>
      <c r="S27" s="38"/>
      <c r="T27" s="38"/>
      <c r="U27" s="38"/>
    </row>
  </sheetData>
  <mergeCells count="5">
    <mergeCell ref="A1:F12"/>
    <mergeCell ref="G1:L12"/>
    <mergeCell ref="H13:K13"/>
    <mergeCell ref="H14:K14"/>
    <mergeCell ref="A15:D15"/>
  </mergeCells>
  <hyperlinks>
    <hyperlink ref="H13:K13" r:id="rId1" display="https://bricsafricaconsulting.com/" xr:uid="{F5C5F2CB-F639-433C-9352-CDD2B21F0EA7}"/>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pageSetUpPr fitToPage="1"/>
  </sheetPr>
  <dimension ref="B1:AH14"/>
  <sheetViews>
    <sheetView showGridLines="0" zoomScaleNormal="100" workbookViewId="0">
      <selection activeCell="B2" sqref="B2"/>
    </sheetView>
  </sheetViews>
  <sheetFormatPr defaultColWidth="8.710937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2:34" ht="49.9" customHeight="1" x14ac:dyDescent="0.35">
      <c r="B1" s="25" t="s">
        <v>54</v>
      </c>
    </row>
    <row r="2" spans="2:34" ht="100.15" customHeight="1" x14ac:dyDescent="0.25">
      <c r="B2" s="39" t="s">
        <v>49</v>
      </c>
    </row>
    <row r="3" spans="2:34" ht="1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2: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2:34" ht="15" customHeight="1"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CalendarYear</f>
        <v>2025</v>
      </c>
    </row>
    <row r="7" spans="2:34" ht="30" customHeight="1" x14ac:dyDescent="0.25">
      <c r="B7" s="7"/>
      <c r="C7" s="23" t="str">
        <f ca="1">TEXT(WEEKDAY(DATE(CalendarYear,9,1),1),"aaa")</f>
        <v>Mon</v>
      </c>
      <c r="D7" s="23" t="str">
        <f ca="1">TEXT(WEEKDAY(DATE(CalendarYear,9,2),1),"aaa")</f>
        <v>Tue</v>
      </c>
      <c r="E7" s="23" t="str">
        <f ca="1">TEXT(WEEKDAY(DATE(CalendarYear,9,3),1),"aaa")</f>
        <v>Wed</v>
      </c>
      <c r="F7" s="23" t="str">
        <f ca="1">TEXT(WEEKDAY(DATE(CalendarYear,9,4),1),"aaa")</f>
        <v>Thu</v>
      </c>
      <c r="G7" s="23" t="str">
        <f ca="1">TEXT(WEEKDAY(DATE(CalendarYear,9,5),1),"aaa")</f>
        <v>Fri</v>
      </c>
      <c r="H7" s="23" t="str">
        <f ca="1">TEXT(WEEKDAY(DATE(CalendarYear,9,6),1),"aaa")</f>
        <v>Sat</v>
      </c>
      <c r="I7" s="23" t="str">
        <f ca="1">TEXT(WEEKDAY(DATE(CalendarYear,9,7),1),"aaa")</f>
        <v>Sun</v>
      </c>
      <c r="J7" s="23" t="str">
        <f ca="1">TEXT(WEEKDAY(DATE(CalendarYear,9,8),1),"aaa")</f>
        <v>Mon</v>
      </c>
      <c r="K7" s="23" t="str">
        <f ca="1">TEXT(WEEKDAY(DATE(CalendarYear,9,9),1),"aaa")</f>
        <v>Tue</v>
      </c>
      <c r="L7" s="23" t="str">
        <f ca="1">TEXT(WEEKDAY(DATE(CalendarYear,9,10),1),"aaa")</f>
        <v>Wed</v>
      </c>
      <c r="M7" s="23" t="str">
        <f ca="1">TEXT(WEEKDAY(DATE(CalendarYear,9,11),1),"aaa")</f>
        <v>Thu</v>
      </c>
      <c r="N7" s="23" t="str">
        <f ca="1">TEXT(WEEKDAY(DATE(CalendarYear,9,12),1),"aaa")</f>
        <v>Fri</v>
      </c>
      <c r="O7" s="23" t="str">
        <f ca="1">TEXT(WEEKDAY(DATE(CalendarYear,9,13),1),"aaa")</f>
        <v>Sat</v>
      </c>
      <c r="P7" s="23" t="str">
        <f ca="1">TEXT(WEEKDAY(DATE(CalendarYear,9,14),1),"aaa")</f>
        <v>Sun</v>
      </c>
      <c r="Q7" s="23" t="str">
        <f ca="1">TEXT(WEEKDAY(DATE(CalendarYear,9,15),1),"aaa")</f>
        <v>Mon</v>
      </c>
      <c r="R7" s="23" t="str">
        <f ca="1">TEXT(WEEKDAY(DATE(CalendarYear,9,16),1),"aaa")</f>
        <v>Tue</v>
      </c>
      <c r="S7" s="23" t="str">
        <f ca="1">TEXT(WEEKDAY(DATE(CalendarYear,9,17),1),"aaa")</f>
        <v>Wed</v>
      </c>
      <c r="T7" s="23" t="str">
        <f ca="1">TEXT(WEEKDAY(DATE(CalendarYear,9,18),1),"aaa")</f>
        <v>Thu</v>
      </c>
      <c r="U7" s="23" t="str">
        <f ca="1">TEXT(WEEKDAY(DATE(CalendarYear,9,19),1),"aaa")</f>
        <v>Fri</v>
      </c>
      <c r="V7" s="23" t="str">
        <f ca="1">TEXT(WEEKDAY(DATE(CalendarYear,9,20),1),"aaa")</f>
        <v>Sat</v>
      </c>
      <c r="W7" s="23" t="str">
        <f ca="1">TEXT(WEEKDAY(DATE(CalendarYear,9,21),1),"aaa")</f>
        <v>Sun</v>
      </c>
      <c r="X7" s="23" t="str">
        <f ca="1">TEXT(WEEKDAY(DATE(CalendarYear,9,22),1),"aaa")</f>
        <v>Mon</v>
      </c>
      <c r="Y7" s="23" t="str">
        <f ca="1">TEXT(WEEKDAY(DATE(CalendarYear,9,23),1),"aaa")</f>
        <v>Tue</v>
      </c>
      <c r="Z7" s="23" t="str">
        <f ca="1">TEXT(WEEKDAY(DATE(CalendarYear,9,24),1),"aaa")</f>
        <v>Wed</v>
      </c>
      <c r="AA7" s="23" t="str">
        <f ca="1">TEXT(WEEKDAY(DATE(CalendarYear,9,25),1),"aaa")</f>
        <v>Thu</v>
      </c>
      <c r="AB7" s="23" t="str">
        <f ca="1">TEXT(WEEKDAY(DATE(CalendarYear,9,26),1),"aaa")</f>
        <v>Fri</v>
      </c>
      <c r="AC7" s="23" t="str">
        <f ca="1">TEXT(WEEKDAY(DATE(CalendarYear,9,27),1),"aaa")</f>
        <v>Sat</v>
      </c>
      <c r="AD7" s="23" t="str">
        <f ca="1">TEXT(WEEKDAY(DATE(CalendarYear,9,28),1),"aaa")</f>
        <v>Sun</v>
      </c>
      <c r="AE7" s="23" t="str">
        <f ca="1">TEXT(WEEKDAY(DATE(CalendarYear,9,29),1),"aaa")</f>
        <v>Mon</v>
      </c>
      <c r="AF7" s="23" t="str">
        <f ca="1">TEXT(WEEKDAY(DATE(CalendarYear,9,30),1),"aaa")</f>
        <v>Tue</v>
      </c>
      <c r="AG7" s="23"/>
      <c r="AH7" s="7"/>
    </row>
    <row r="8" spans="2: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33</v>
      </c>
      <c r="AH8" s="24" t="s">
        <v>63</v>
      </c>
    </row>
    <row r="9" spans="2:34" ht="30" customHeight="1" x14ac:dyDescent="0.25">
      <c r="B9" s="2" t="s">
        <v>57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3">
        <f>COUNTA(September[[#This Row],[1]:[ ]])</f>
        <v>0</v>
      </c>
    </row>
    <row r="10" spans="2:34" ht="30" customHeight="1" x14ac:dyDescent="0.25">
      <c r="B10" s="2" t="s">
        <v>58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COUNTA(September[[#This Row],[1]:[ ]])</f>
        <v>0</v>
      </c>
    </row>
    <row r="11" spans="2:34" ht="30" customHeight="1" x14ac:dyDescent="0.25">
      <c r="B11" s="2" t="s">
        <v>59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3">
        <f>COUNTA(September[[#This Row],[1]:[ ]])</f>
        <v>0</v>
      </c>
    </row>
    <row r="12" spans="2:34" ht="30" customHeight="1" x14ac:dyDescent="0.25">
      <c r="B12" s="2" t="s">
        <v>60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COUNTA(September[[#This Row],[1]:[ ]])</f>
        <v>0</v>
      </c>
    </row>
    <row r="13" spans="2:34" ht="30" customHeight="1" x14ac:dyDescent="0.25">
      <c r="B13" s="2" t="s">
        <v>61</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3">
        <f>COUNTA(September[[#This Row],[1]:[ ]])</f>
        <v>0</v>
      </c>
    </row>
    <row r="14" spans="2:34" ht="30" customHeight="1" x14ac:dyDescent="0.25">
      <c r="B14" s="5" t="str">
        <f>MonthName&amp;" Total"</f>
        <v>September Total</v>
      </c>
      <c r="C14" s="4">
        <f>SUBTOTAL(103,September[1])</f>
        <v>0</v>
      </c>
      <c r="D14" s="4">
        <f>SUBTOTAL(103,September[2])</f>
        <v>0</v>
      </c>
      <c r="E14" s="4">
        <f>SUBTOTAL(103,September[3])</f>
        <v>0</v>
      </c>
      <c r="F14" s="4">
        <f>SUBTOTAL(103,September[4])</f>
        <v>0</v>
      </c>
      <c r="G14" s="4">
        <f>SUBTOTAL(103,September[5])</f>
        <v>0</v>
      </c>
      <c r="H14" s="4">
        <f>SUBTOTAL(103,September[6])</f>
        <v>0</v>
      </c>
      <c r="I14" s="4">
        <f>SUBTOTAL(103,September[7])</f>
        <v>0</v>
      </c>
      <c r="J14" s="4">
        <f>SUBTOTAL(103,September[8])</f>
        <v>0</v>
      </c>
      <c r="K14" s="4">
        <f>SUBTOTAL(103,September[9])</f>
        <v>0</v>
      </c>
      <c r="L14" s="4">
        <f>SUBTOTAL(103,September[10])</f>
        <v>0</v>
      </c>
      <c r="M14" s="4">
        <f>SUBTOTAL(103,September[11])</f>
        <v>0</v>
      </c>
      <c r="N14" s="4">
        <f>SUBTOTAL(103,September[12])</f>
        <v>0</v>
      </c>
      <c r="O14" s="4">
        <f>SUBTOTAL(103,September[13])</f>
        <v>0</v>
      </c>
      <c r="P14" s="4">
        <f>SUBTOTAL(103,September[14])</f>
        <v>0</v>
      </c>
      <c r="Q14" s="4">
        <f>SUBTOTAL(103,September[15])</f>
        <v>0</v>
      </c>
      <c r="R14" s="4">
        <f>SUBTOTAL(103,September[16])</f>
        <v>0</v>
      </c>
      <c r="S14" s="4">
        <f>SUBTOTAL(103,September[17])</f>
        <v>0</v>
      </c>
      <c r="T14" s="4">
        <f>SUBTOTAL(103,September[18])</f>
        <v>0</v>
      </c>
      <c r="U14" s="4">
        <f>SUBTOTAL(103,September[19])</f>
        <v>0</v>
      </c>
      <c r="V14" s="4">
        <f>SUBTOTAL(103,September[20])</f>
        <v>0</v>
      </c>
      <c r="W14" s="4">
        <f>SUBTOTAL(103,September[21])</f>
        <v>0</v>
      </c>
      <c r="X14" s="4">
        <f>SUBTOTAL(103,September[22])</f>
        <v>0</v>
      </c>
      <c r="Y14" s="4">
        <f>SUBTOTAL(103,September[23])</f>
        <v>0</v>
      </c>
      <c r="Z14" s="4">
        <f>SUBTOTAL(103,September[24])</f>
        <v>0</v>
      </c>
      <c r="AA14" s="4">
        <f>SUBTOTAL(103,September[25])</f>
        <v>0</v>
      </c>
      <c r="AB14" s="4">
        <f>SUBTOTAL(103,September[26])</f>
        <v>0</v>
      </c>
      <c r="AC14" s="4">
        <f>SUBTOTAL(103,September[27])</f>
        <v>0</v>
      </c>
      <c r="AD14" s="4">
        <f>SUBTOTAL(103,September[28])</f>
        <v>0</v>
      </c>
      <c r="AE14" s="4">
        <f>SUBTOTAL(103,September[29])</f>
        <v>0</v>
      </c>
      <c r="AF14" s="4">
        <f>SUBTOTAL(109,September[30])</f>
        <v>0</v>
      </c>
      <c r="AG14" s="4">
        <f>SUBTOTAL(109,September[[ ]])</f>
        <v>0</v>
      </c>
      <c r="AH14" s="4">
        <f>SUBTOTAL(109,September[Total days])</f>
        <v>0</v>
      </c>
    </row>
  </sheetData>
  <mergeCells count="6">
    <mergeCell ref="C6:AG6"/>
    <mergeCell ref="D4:F4"/>
    <mergeCell ref="H4:J4"/>
    <mergeCell ref="L4:M4"/>
    <mergeCell ref="O4:Q4"/>
    <mergeCell ref="S4:U4"/>
  </mergeCells>
  <conditionalFormatting sqref="C9:AG13">
    <cfRule type="expression" priority="1" stopIfTrue="1">
      <formula>C9=""</formula>
    </cfRule>
    <cfRule type="expression" dxfId="295" priority="2" stopIfTrue="1">
      <formula>C9=KeyCustom2</formula>
    </cfRule>
    <cfRule type="expression" dxfId="294" priority="3" stopIfTrue="1">
      <formula>C9=KeyCustom1</formula>
    </cfRule>
    <cfRule type="expression" dxfId="293" priority="4" stopIfTrue="1">
      <formula>C9=KeySick</formula>
    </cfRule>
    <cfRule type="expression" dxfId="292" priority="5" stopIfTrue="1">
      <formula>C9=KeyPersonal</formula>
    </cfRule>
    <cfRule type="expression" dxfId="291" priority="6" stopIfTrue="1">
      <formula>C9=KeyVacation</formula>
    </cfRule>
  </conditionalFormatting>
  <conditionalFormatting sqref="AH9:AH13">
    <cfRule type="dataBar" priority="7">
      <dataBar>
        <cfvo type="min"/>
        <cfvo type="formula" val="DATEDIF(DATE(CalendarYear,2,1),DATE(CalendarYear,3,1),&quot;d&quot;)"/>
        <color theme="2" tint="-0.249977111117893"/>
      </dataBar>
      <extLst>
        <ext xmlns:x14="http://schemas.microsoft.com/office/spreadsheetml/2009/9/main" uri="{B025F937-C7B1-47D3-B67F-A62EFF666E3E}">
          <x14:id>{1A021984-06A1-41D9-90D2-8C16E885020B}</x14:id>
        </ext>
      </extLst>
    </cfRule>
  </conditionalFormatting>
  <dataValidations count="15">
    <dataValidation allowBlank="1" showInputMessage="1" showErrorMessage="1" prompt="Days of the month in this row are automatically generated. Enter an employee's absence and absence type in each column for each day of the month. Blank means no absence" sqref="C8" xr:uid="{9DDE2A21-51EA-3649-A2EE-B04BD18F4ABA}"/>
    <dataValidation allowBlank="1" showInputMessage="1" showErrorMessage="1" prompt="Month name for this absence schedule is in this cell. Absence totals for this month are in last cell of the table. Select employee names in table column B" sqref="B2" xr:uid="{00000000-0002-0000-0800-000001000000}"/>
    <dataValidation allowBlank="1" showInputMessage="1" showErrorMessage="1" prompt="Enter a label to describe the custom key at left" sqref="O4:Q4 S4:U4" xr:uid="{5116644F-0501-8B49-8158-4564676A664E}"/>
    <dataValidation allowBlank="1" showInputMessage="1" showErrorMessage="1" prompt="Enter a letter and customize the label at right to add another key item" sqref="N4 R4" xr:uid="{58CFE273-C075-BB40-8F28-5FCC44B7E3A3}"/>
    <dataValidation allowBlank="1" showInputMessage="1" showErrorMessage="1" prompt="The letter &quot;S&quot; indicates absence due to illness" sqref="K4" xr:uid="{EEC4FBAF-1EBD-4C4D-9809-847842EA837E}"/>
    <dataValidation allowBlank="1" showInputMessage="1" showErrorMessage="1" prompt="The letter &quot;P&quot; indicates absence due to personal reasons" sqref="G4" xr:uid="{846A0B75-93D1-0640-8A7F-0B42F6009C81}"/>
    <dataValidation allowBlank="1" showInputMessage="1" showErrorMessage="1" prompt="The letter &quot;V&quot; indicates absence due to vacation" sqref="C4" xr:uid="{286BFB05-7A4F-C140-BF05-59F3E17D85F5}"/>
    <dataValidation allowBlank="1" showInputMessage="1" showErrorMessage="1" prompt="Automatically updated title is in this cell. To modify the title, update B1 on January worksheet" sqref="B2" xr:uid="{00000000-0002-0000-0800-000008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C813148F-9330-314A-8F3F-150F6150691C}"/>
    <dataValidation allowBlank="1" showInputMessage="1" showErrorMessage="1" prompt="Track September absence in this worksheet" sqref="A1" xr:uid="{00000000-0002-0000-0800-00000A000000}"/>
    <dataValidation allowBlank="1" showInputMessage="1" showErrorMessage="1" prompt="Automatically calculates total number of days an employee was absent this month in this column" sqref="AH8" xr:uid="{5C77DC9E-A1AE-7C41-B518-6426DAF8D1EE}"/>
    <dataValidation allowBlank="1" showInputMessage="1" showErrorMessage="1" prompt="Automatically updated year based on year entered in January worksheet" sqref="AH6" xr:uid="{075296AD-6F4A-1446-94E5-CA2E94C7BFCE}"/>
    <dataValidation allowBlank="1" showInputMessage="1" showErrorMessage="1" prompt="Weekdays in this row are automatically updated for the month according to the year in AH4. Each day of the month is a column to note an employee's absence and absence type" sqref="C7" xr:uid="{D85777C8-14EB-B748-8BBD-8B9BF124E384}"/>
    <dataValidation allowBlank="1" showInputMessage="1" showErrorMessage="1" prompt="This row defines the keys used in the table: cell C4 is Vacation, G4 is Personal, &amp; K4 is Sick leave. Cells N4 &amp; R4 are customizable " sqref="B4" xr:uid="{258809B3-02AD-47F3-A0C7-61BAF9DAB51A}"/>
    <dataValidation allowBlank="1" showInputMessage="1" showErrorMessage="1" prompt="Title of the worksheet is in this cell. " sqref="B1" xr:uid="{EDB7A32F-2F43-4B5F-BF9B-69D720D668DD}"/>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A021984-06A1-41D9-90D2-8C16E885020B}">
            <x14:dataBar minLength="0" maxLength="100">
              <x14:cfvo type="autoMin"/>
              <x14:cfvo type="formula">
                <xm:f>DATEDIF(DATE(CalendarYear,2,1),DATE(CalendarYear,3,1),"d")</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E000000}">
          <x14:formula1>
            <xm:f>'Employee names'!$B$4:$B$8</xm:f>
          </x14:formula1>
          <xm:sqref>B9:B13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pageSetUpPr fitToPage="1"/>
  </sheetPr>
  <dimension ref="B1:AH14"/>
  <sheetViews>
    <sheetView showGridLines="0" zoomScaleNormal="100" workbookViewId="0">
      <selection activeCell="B2" sqref="B2"/>
    </sheetView>
  </sheetViews>
  <sheetFormatPr defaultColWidth="8.710937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2:34" ht="49.9" customHeight="1" x14ac:dyDescent="0.35">
      <c r="B1" s="25" t="s">
        <v>54</v>
      </c>
    </row>
    <row r="2" spans="2:34" ht="100.15" customHeight="1" x14ac:dyDescent="0.25">
      <c r="B2" s="39" t="s">
        <v>50</v>
      </c>
    </row>
    <row r="3" spans="2:34" ht="1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2: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2:34" ht="15" customHeight="1"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CalendarYear</f>
        <v>2025</v>
      </c>
    </row>
    <row r="7" spans="2:34" ht="30" customHeight="1" x14ac:dyDescent="0.25">
      <c r="B7" s="7"/>
      <c r="C7" s="23" t="str">
        <f ca="1">TEXT(WEEKDAY(DATE(CalendarYear,10,1),1),"aaa")</f>
        <v>Wed</v>
      </c>
      <c r="D7" s="23" t="str">
        <f ca="1">TEXT(WEEKDAY(DATE(CalendarYear,10,2),1),"aaa")</f>
        <v>Thu</v>
      </c>
      <c r="E7" s="23" t="str">
        <f ca="1">TEXT(WEEKDAY(DATE(CalendarYear,10,3),1),"aaa")</f>
        <v>Fri</v>
      </c>
      <c r="F7" s="23" t="str">
        <f ca="1">TEXT(WEEKDAY(DATE(CalendarYear,10,4),1),"aaa")</f>
        <v>Sat</v>
      </c>
      <c r="G7" s="23" t="str">
        <f ca="1">TEXT(WEEKDAY(DATE(CalendarYear,10,5),1),"aaa")</f>
        <v>Sun</v>
      </c>
      <c r="H7" s="23" t="str">
        <f ca="1">TEXT(WEEKDAY(DATE(CalendarYear,10,6),1),"aaa")</f>
        <v>Mon</v>
      </c>
      <c r="I7" s="23" t="str">
        <f ca="1">TEXT(WEEKDAY(DATE(CalendarYear,10,7),1),"aaa")</f>
        <v>Tue</v>
      </c>
      <c r="J7" s="23" t="str">
        <f ca="1">TEXT(WEEKDAY(DATE(CalendarYear,10,8),1),"aaa")</f>
        <v>Wed</v>
      </c>
      <c r="K7" s="23" t="str">
        <f ca="1">TEXT(WEEKDAY(DATE(CalendarYear,10,9),1),"aaa")</f>
        <v>Thu</v>
      </c>
      <c r="L7" s="23" t="str">
        <f ca="1">TEXT(WEEKDAY(DATE(CalendarYear,10,10),1),"aaa")</f>
        <v>Fri</v>
      </c>
      <c r="M7" s="23" t="str">
        <f ca="1">TEXT(WEEKDAY(DATE(CalendarYear,10,11),1),"aaa")</f>
        <v>Sat</v>
      </c>
      <c r="N7" s="23" t="str">
        <f ca="1">TEXT(WEEKDAY(DATE(CalendarYear,10,12),1),"aaa")</f>
        <v>Sun</v>
      </c>
      <c r="O7" s="23" t="str">
        <f ca="1">TEXT(WEEKDAY(DATE(CalendarYear,10,13),1),"aaa")</f>
        <v>Mon</v>
      </c>
      <c r="P7" s="23" t="str">
        <f ca="1">TEXT(WEEKDAY(DATE(CalendarYear,10,14),1),"aaa")</f>
        <v>Tue</v>
      </c>
      <c r="Q7" s="23" t="str">
        <f ca="1">TEXT(WEEKDAY(DATE(CalendarYear,10,15),1),"aaa")</f>
        <v>Wed</v>
      </c>
      <c r="R7" s="23" t="str">
        <f ca="1">TEXT(WEEKDAY(DATE(CalendarYear,10,16),1),"aaa")</f>
        <v>Thu</v>
      </c>
      <c r="S7" s="23" t="str">
        <f ca="1">TEXT(WEEKDAY(DATE(CalendarYear,10,17),1),"aaa")</f>
        <v>Fri</v>
      </c>
      <c r="T7" s="23" t="str">
        <f ca="1">TEXT(WEEKDAY(DATE(CalendarYear,10,18),1),"aaa")</f>
        <v>Sat</v>
      </c>
      <c r="U7" s="23" t="str">
        <f ca="1">TEXT(WEEKDAY(DATE(CalendarYear,10,19),1),"aaa")</f>
        <v>Sun</v>
      </c>
      <c r="V7" s="23" t="str">
        <f ca="1">TEXT(WEEKDAY(DATE(CalendarYear,10,20),1),"aaa")</f>
        <v>Mon</v>
      </c>
      <c r="W7" s="23" t="str">
        <f ca="1">TEXT(WEEKDAY(DATE(CalendarYear,10,21),1),"aaa")</f>
        <v>Tue</v>
      </c>
      <c r="X7" s="23" t="str">
        <f ca="1">TEXT(WEEKDAY(DATE(CalendarYear,10,22),1),"aaa")</f>
        <v>Wed</v>
      </c>
      <c r="Y7" s="23" t="str">
        <f ca="1">TEXT(WEEKDAY(DATE(CalendarYear,10,23),1),"aaa")</f>
        <v>Thu</v>
      </c>
      <c r="Z7" s="23" t="str">
        <f ca="1">TEXT(WEEKDAY(DATE(CalendarYear,10,24),1),"aaa")</f>
        <v>Fri</v>
      </c>
      <c r="AA7" s="23" t="str">
        <f ca="1">TEXT(WEEKDAY(DATE(CalendarYear,10,25),1),"aaa")</f>
        <v>Sat</v>
      </c>
      <c r="AB7" s="23" t="str">
        <f ca="1">TEXT(WEEKDAY(DATE(CalendarYear,10,26),1),"aaa")</f>
        <v>Sun</v>
      </c>
      <c r="AC7" s="23" t="str">
        <f ca="1">TEXT(WEEKDAY(DATE(CalendarYear,10,27),1),"aaa")</f>
        <v>Mon</v>
      </c>
      <c r="AD7" s="23" t="str">
        <f ca="1">TEXT(WEEKDAY(DATE(CalendarYear,10,28),1),"aaa")</f>
        <v>Tue</v>
      </c>
      <c r="AE7" s="23" t="str">
        <f ca="1">TEXT(WEEKDAY(DATE(CalendarYear,10,29),1),"aaa")</f>
        <v>Wed</v>
      </c>
      <c r="AF7" s="23" t="str">
        <f ca="1">TEXT(WEEKDAY(DATE(CalendarYear,10,30),1),"aaa")</f>
        <v>Thu</v>
      </c>
      <c r="AG7" s="23" t="str">
        <f ca="1">TEXT(WEEKDAY(DATE(CalendarYear,10,31),1),"aaa")</f>
        <v>Fri</v>
      </c>
      <c r="AH7" s="7"/>
    </row>
    <row r="8" spans="2: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24" t="s">
        <v>63</v>
      </c>
    </row>
    <row r="9" spans="2:34" ht="30" customHeight="1" x14ac:dyDescent="0.25">
      <c r="B9" s="2" t="s">
        <v>57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3">
        <f>COUNTA(October[[#This Row],[1]:[31]])</f>
        <v>0</v>
      </c>
    </row>
    <row r="10" spans="2:34" ht="30" customHeight="1" x14ac:dyDescent="0.25">
      <c r="B10" s="2" t="s">
        <v>58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COUNTA(October[[#This Row],[1]:[31]])</f>
        <v>0</v>
      </c>
    </row>
    <row r="11" spans="2:34" ht="30" customHeight="1" x14ac:dyDescent="0.25">
      <c r="B11" s="2" t="s">
        <v>59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3">
        <f>COUNTA(October[[#This Row],[1]:[31]])</f>
        <v>0</v>
      </c>
    </row>
    <row r="12" spans="2:34" ht="30" customHeight="1" x14ac:dyDescent="0.25">
      <c r="B12" s="2" t="s">
        <v>60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COUNTA(October[[#This Row],[1]:[31]])</f>
        <v>0</v>
      </c>
    </row>
    <row r="13" spans="2:34" ht="30" customHeight="1" x14ac:dyDescent="0.25">
      <c r="B13" s="2" t="s">
        <v>61</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3">
        <f>COUNTA(October[[#This Row],[1]:[31]])</f>
        <v>0</v>
      </c>
    </row>
    <row r="14" spans="2:34" ht="30" customHeight="1" x14ac:dyDescent="0.25">
      <c r="B14" s="5" t="str">
        <f>MonthName&amp;" Total"</f>
        <v>October Total</v>
      </c>
      <c r="C14" s="4">
        <f>SUBTOTAL(103,October[1])</f>
        <v>0</v>
      </c>
      <c r="D14" s="4">
        <f>SUBTOTAL(103,October[2])</f>
        <v>0</v>
      </c>
      <c r="E14" s="4">
        <f>SUBTOTAL(103,October[3])</f>
        <v>0</v>
      </c>
      <c r="F14" s="4">
        <f>SUBTOTAL(103,October[4])</f>
        <v>0</v>
      </c>
      <c r="G14" s="4">
        <f>SUBTOTAL(103,October[5])</f>
        <v>0</v>
      </c>
      <c r="H14" s="4">
        <f>SUBTOTAL(103,October[6])</f>
        <v>0</v>
      </c>
      <c r="I14" s="4">
        <f>SUBTOTAL(103,October[7])</f>
        <v>0</v>
      </c>
      <c r="J14" s="4">
        <f>SUBTOTAL(103,October[8])</f>
        <v>0</v>
      </c>
      <c r="K14" s="4">
        <f>SUBTOTAL(103,October[9])</f>
        <v>0</v>
      </c>
      <c r="L14" s="4">
        <f>SUBTOTAL(103,October[10])</f>
        <v>0</v>
      </c>
      <c r="M14" s="4">
        <f>SUBTOTAL(103,October[11])</f>
        <v>0</v>
      </c>
      <c r="N14" s="4">
        <f>SUBTOTAL(103,October[12])</f>
        <v>0</v>
      </c>
      <c r="O14" s="4">
        <f>SUBTOTAL(103,October[13])</f>
        <v>0</v>
      </c>
      <c r="P14" s="4">
        <f>SUBTOTAL(103,October[14])</f>
        <v>0</v>
      </c>
      <c r="Q14" s="4">
        <f>SUBTOTAL(103,October[15])</f>
        <v>0</v>
      </c>
      <c r="R14" s="4">
        <f>SUBTOTAL(103,October[16])</f>
        <v>0</v>
      </c>
      <c r="S14" s="4">
        <f>SUBTOTAL(103,October[17])</f>
        <v>0</v>
      </c>
      <c r="T14" s="4">
        <f>SUBTOTAL(103,October[18])</f>
        <v>0</v>
      </c>
      <c r="U14" s="4">
        <f>SUBTOTAL(103,October[19])</f>
        <v>0</v>
      </c>
      <c r="V14" s="4">
        <f>SUBTOTAL(103,October[20])</f>
        <v>0</v>
      </c>
      <c r="W14" s="4">
        <f>SUBTOTAL(103,October[21])</f>
        <v>0</v>
      </c>
      <c r="X14" s="4">
        <f>SUBTOTAL(103,October[22])</f>
        <v>0</v>
      </c>
      <c r="Y14" s="4">
        <f>SUBTOTAL(103,October[23])</f>
        <v>0</v>
      </c>
      <c r="Z14" s="4">
        <f>SUBTOTAL(103,October[24])</f>
        <v>0</v>
      </c>
      <c r="AA14" s="4">
        <f>SUBTOTAL(103,October[25])</f>
        <v>0</v>
      </c>
      <c r="AB14" s="4">
        <f>SUBTOTAL(103,October[26])</f>
        <v>0</v>
      </c>
      <c r="AC14" s="4">
        <f>SUBTOTAL(103,October[27])</f>
        <v>0</v>
      </c>
      <c r="AD14" s="4">
        <f>SUBTOTAL(103,October[28])</f>
        <v>0</v>
      </c>
      <c r="AE14" s="4">
        <f>SUBTOTAL(103,October[29])</f>
        <v>0</v>
      </c>
      <c r="AF14" s="4">
        <f>SUBTOTAL(109,October[30])</f>
        <v>0</v>
      </c>
      <c r="AG14" s="4">
        <f>SUBTOTAL(109,October[31])</f>
        <v>0</v>
      </c>
      <c r="AH14" s="4">
        <f>SUBTOTAL(109,October[Total days])</f>
        <v>0</v>
      </c>
    </row>
  </sheetData>
  <mergeCells count="6">
    <mergeCell ref="C6:AG6"/>
    <mergeCell ref="D4:F4"/>
    <mergeCell ref="H4:J4"/>
    <mergeCell ref="L4:M4"/>
    <mergeCell ref="O4:Q4"/>
    <mergeCell ref="S4:U4"/>
  </mergeCells>
  <conditionalFormatting sqref="C9:AG13">
    <cfRule type="expression" priority="1" stopIfTrue="1">
      <formula>C9=""</formula>
    </cfRule>
    <cfRule type="expression" dxfId="221" priority="2" stopIfTrue="1">
      <formula>C9=KeyCustom2</formula>
    </cfRule>
    <cfRule type="expression" dxfId="220" priority="3" stopIfTrue="1">
      <formula>C9=KeyCustom1</formula>
    </cfRule>
    <cfRule type="expression" dxfId="219" priority="4" stopIfTrue="1">
      <formula>C9=KeySick</formula>
    </cfRule>
    <cfRule type="expression" dxfId="218" priority="5" stopIfTrue="1">
      <formula>C9=KeyPersonal</formula>
    </cfRule>
    <cfRule type="expression" dxfId="217" priority="6" stopIfTrue="1">
      <formula>C9=KeyVacation</formula>
    </cfRule>
  </conditionalFormatting>
  <conditionalFormatting sqref="AH9:AH13">
    <cfRule type="dataBar" priority="7">
      <dataBar>
        <cfvo type="min"/>
        <cfvo type="formula" val="DATEDIF(DATE(CalendarYear,2,1),DATE(CalendarYear,3,1),&quot;d&quot;)"/>
        <color theme="2" tint="-0.249977111117893"/>
      </dataBar>
      <extLst>
        <ext xmlns:x14="http://schemas.microsoft.com/office/spreadsheetml/2009/9/main" uri="{B025F937-C7B1-47D3-B67F-A62EFF666E3E}">
          <x14:id>{F32A08EA-50E8-4B5F-AB1F-5A7739FBC16C}</x14:id>
        </ext>
      </extLst>
    </cfRule>
  </conditionalFormatting>
  <dataValidations count="14">
    <dataValidation allowBlank="1" showInputMessage="1" showErrorMessage="1" prompt="Weekdays in this row are automatically updated for the month according to the year in AH4. Each day of the month is a column to note an employee's absence and absence type" sqref="C7" xr:uid="{6C3B7250-7883-E447-A5BD-190F9EC85610}"/>
    <dataValidation allowBlank="1" showInputMessage="1" showErrorMessage="1" prompt="Automatically updated year based on year entered in January worksheet" sqref="AH6" xr:uid="{856FAEF4-8645-3447-91CD-944E3DA437F4}"/>
    <dataValidation allowBlank="1" showInputMessage="1" showErrorMessage="1" prompt="Automatically calculates total number of days an employee was absent this month in this column" sqref="AH8" xr:uid="{460C2673-D90D-514F-89AA-D6D7BDC2B7D4}"/>
    <dataValidation allowBlank="1" showInputMessage="1" showErrorMessage="1" prompt="Track October absence in this worksheet" sqref="A1" xr:uid="{00000000-0002-0000-0900-000003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44EADDEC-C0C0-D348-A864-4940BC2D178C}"/>
    <dataValidation allowBlank="1" showInputMessage="1" showErrorMessage="1" prompt="The letter &quot;V&quot; indicates absence due to vacation" sqref="C4" xr:uid="{8AFA64B3-CA12-D746-A7DF-89EF58BCE3D5}"/>
    <dataValidation allowBlank="1" showInputMessage="1" showErrorMessage="1" prompt="The letter &quot;P&quot; indicates absence due to personal reasons" sqref="G4" xr:uid="{3B7999AA-167A-CE4C-8796-899AE23635AB}"/>
    <dataValidation allowBlank="1" showInputMessage="1" showErrorMessage="1" prompt="The letter &quot;S&quot; indicates absence due to illness" sqref="K4" xr:uid="{1B40AE04-6602-1B4B-831F-DE91BF80E5BA}"/>
    <dataValidation allowBlank="1" showInputMessage="1" showErrorMessage="1" prompt="Enter a letter and customize the label at right to add another key item" sqref="N4 R4" xr:uid="{E244B439-C378-D64B-B39B-3ECAC0628D41}"/>
    <dataValidation allowBlank="1" showInputMessage="1" showErrorMessage="1" prompt="Enter a label to describe the custom key at left" sqref="O4:Q4 S4:U4" xr:uid="{8092AE17-9B79-B44F-87F7-9F40BB2047F6}"/>
    <dataValidation allowBlank="1" showInputMessage="1" showErrorMessage="1" prompt="Month name for this absence schedule is in this cell. Absence totals for this month are in last cell of the table. Select employee names in table column B" sqref="B2" xr:uid="{00000000-0002-0000-0900-00000C000000}"/>
    <dataValidation allowBlank="1" showInputMessage="1" showErrorMessage="1" prompt="Days of the month in this row are automatically generated. Enter an employee's absence and absence type in each column for each day of the month. Blank means no absence" sqref="C8" xr:uid="{E2589F34-72AD-7946-9C30-9FD4409BBCB4}"/>
    <dataValidation allowBlank="1" showInputMessage="1" showErrorMessage="1" prompt="This row defines the keys used in the table: cell C4 is Vacation, G4 is Personal, &amp; K4 is Sick leave. Cells N4 &amp; R4 are customizable " sqref="B4" xr:uid="{64951AAF-92FB-44AB-A8AD-B37C0B2DD08A}"/>
    <dataValidation allowBlank="1" showInputMessage="1" showErrorMessage="1" prompt="Title of the worksheet is in this cell. " sqref="B1" xr:uid="{1C12649E-FD35-4288-A6DD-5F40186B166C}"/>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32A08EA-50E8-4B5F-AB1F-5A7739FBC16C}">
            <x14:dataBar minLength="0" maxLength="100">
              <x14:cfvo type="autoMin"/>
              <x14:cfvo type="formula">
                <xm:f>DATEDIF(DATE(CalendarYear,2,1),DATE(CalendarYear,3,1),"d")</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E000000}">
          <x14:formula1>
            <xm:f>'Employee names'!$B$4:$B$8</xm:f>
          </x14:formula1>
          <xm:sqref>B9:B13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pageSetUpPr fitToPage="1"/>
  </sheetPr>
  <dimension ref="B1:AH14"/>
  <sheetViews>
    <sheetView showGridLines="0" zoomScaleNormal="100" workbookViewId="0">
      <selection activeCell="B2" sqref="B2"/>
    </sheetView>
  </sheetViews>
  <sheetFormatPr defaultColWidth="8.710937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2:34" ht="49.9" customHeight="1" x14ac:dyDescent="0.35">
      <c r="B1" s="25" t="s">
        <v>54</v>
      </c>
    </row>
    <row r="2" spans="2:34" ht="100.15" customHeight="1" x14ac:dyDescent="0.25">
      <c r="B2" s="39" t="s">
        <v>51</v>
      </c>
    </row>
    <row r="3" spans="2:34" ht="1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2: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2:34" ht="15" customHeight="1"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CalendarYear</f>
        <v>2025</v>
      </c>
    </row>
    <row r="7" spans="2:34" ht="30" customHeight="1" x14ac:dyDescent="0.25">
      <c r="B7" s="7"/>
      <c r="C7" s="23" t="str">
        <f ca="1">TEXT(WEEKDAY(DATE(CalendarYear,11,1),1),"aaa")</f>
        <v>Sat</v>
      </c>
      <c r="D7" s="23" t="str">
        <f ca="1">TEXT(WEEKDAY(DATE(CalendarYear,11,2),1),"aaa")</f>
        <v>Sun</v>
      </c>
      <c r="E7" s="23" t="str">
        <f ca="1">TEXT(WEEKDAY(DATE(CalendarYear,11,3),1),"aaa")</f>
        <v>Mon</v>
      </c>
      <c r="F7" s="23" t="str">
        <f ca="1">TEXT(WEEKDAY(DATE(CalendarYear,11,4),1),"aaa")</f>
        <v>Tue</v>
      </c>
      <c r="G7" s="23" t="str">
        <f ca="1">TEXT(WEEKDAY(DATE(CalendarYear,11,5),1),"aaa")</f>
        <v>Wed</v>
      </c>
      <c r="H7" s="23" t="str">
        <f ca="1">TEXT(WEEKDAY(DATE(CalendarYear,11,6),1),"aaa")</f>
        <v>Thu</v>
      </c>
      <c r="I7" s="23" t="str">
        <f ca="1">TEXT(WEEKDAY(DATE(CalendarYear,11,7),1),"aaa")</f>
        <v>Fri</v>
      </c>
      <c r="J7" s="23" t="str">
        <f ca="1">TEXT(WEEKDAY(DATE(CalendarYear,11,8),1),"aaa")</f>
        <v>Sat</v>
      </c>
      <c r="K7" s="23" t="str">
        <f ca="1">TEXT(WEEKDAY(DATE(CalendarYear,11,9),1),"aaa")</f>
        <v>Sun</v>
      </c>
      <c r="L7" s="23" t="str">
        <f ca="1">TEXT(WEEKDAY(DATE(CalendarYear,11,10),1),"aaa")</f>
        <v>Mon</v>
      </c>
      <c r="M7" s="23" t="str">
        <f ca="1">TEXT(WEEKDAY(DATE(CalendarYear,11,11),1),"aaa")</f>
        <v>Tue</v>
      </c>
      <c r="N7" s="23" t="str">
        <f ca="1">TEXT(WEEKDAY(DATE(CalendarYear,11,12),1),"aaa")</f>
        <v>Wed</v>
      </c>
      <c r="O7" s="23" t="str">
        <f ca="1">TEXT(WEEKDAY(DATE(CalendarYear,11,13),1),"aaa")</f>
        <v>Thu</v>
      </c>
      <c r="P7" s="23" t="str">
        <f ca="1">TEXT(WEEKDAY(DATE(CalendarYear,11,14),1),"aaa")</f>
        <v>Fri</v>
      </c>
      <c r="Q7" s="23" t="str">
        <f ca="1">TEXT(WEEKDAY(DATE(CalendarYear,11,15),1),"aaa")</f>
        <v>Sat</v>
      </c>
      <c r="R7" s="23" t="str">
        <f ca="1">TEXT(WEEKDAY(DATE(CalendarYear,11,16),1),"aaa")</f>
        <v>Sun</v>
      </c>
      <c r="S7" s="23" t="str">
        <f ca="1">TEXT(WEEKDAY(DATE(CalendarYear,11,17),1),"aaa")</f>
        <v>Mon</v>
      </c>
      <c r="T7" s="23" t="str">
        <f ca="1">TEXT(WEEKDAY(DATE(CalendarYear,11,18),1),"aaa")</f>
        <v>Tue</v>
      </c>
      <c r="U7" s="23" t="str">
        <f ca="1">TEXT(WEEKDAY(DATE(CalendarYear,11,19),1),"aaa")</f>
        <v>Wed</v>
      </c>
      <c r="V7" s="23" t="str">
        <f ca="1">TEXT(WEEKDAY(DATE(CalendarYear,11,20),1),"aaa")</f>
        <v>Thu</v>
      </c>
      <c r="W7" s="23" t="str">
        <f ca="1">TEXT(WEEKDAY(DATE(CalendarYear,11,21),1),"aaa")</f>
        <v>Fri</v>
      </c>
      <c r="X7" s="23" t="str">
        <f ca="1">TEXT(WEEKDAY(DATE(CalendarYear,11,22),1),"aaa")</f>
        <v>Sat</v>
      </c>
      <c r="Y7" s="23" t="str">
        <f ca="1">TEXT(WEEKDAY(DATE(CalendarYear,11,23),1),"aaa")</f>
        <v>Sun</v>
      </c>
      <c r="Z7" s="23" t="str">
        <f ca="1">TEXT(WEEKDAY(DATE(CalendarYear,11,24),1),"aaa")</f>
        <v>Mon</v>
      </c>
      <c r="AA7" s="23" t="str">
        <f ca="1">TEXT(WEEKDAY(DATE(CalendarYear,11,25),1),"aaa")</f>
        <v>Tue</v>
      </c>
      <c r="AB7" s="23" t="str">
        <f ca="1">TEXT(WEEKDAY(DATE(CalendarYear,11,26),1),"aaa")</f>
        <v>Wed</v>
      </c>
      <c r="AC7" s="23" t="str">
        <f ca="1">TEXT(WEEKDAY(DATE(CalendarYear,11,27),1),"aaa")</f>
        <v>Thu</v>
      </c>
      <c r="AD7" s="23" t="str">
        <f ca="1">TEXT(WEEKDAY(DATE(CalendarYear,11,28),1),"aaa")</f>
        <v>Fri</v>
      </c>
      <c r="AE7" s="23" t="str">
        <f ca="1">TEXT(WEEKDAY(DATE(CalendarYear,11,29),1),"aaa")</f>
        <v>Sat</v>
      </c>
      <c r="AF7" s="23" t="str">
        <f ca="1">TEXT(WEEKDAY(DATE(CalendarYear,11,30),1),"aaa")</f>
        <v>Sun</v>
      </c>
      <c r="AG7" s="23"/>
      <c r="AH7" s="7"/>
    </row>
    <row r="8" spans="2: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33</v>
      </c>
      <c r="AH8" s="24" t="s">
        <v>63</v>
      </c>
    </row>
    <row r="9" spans="2:34" ht="30" customHeight="1" x14ac:dyDescent="0.25">
      <c r="B9" s="2" t="s">
        <v>57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3">
        <f>COUNTA(November[[#This Row],[1]:[ ]])</f>
        <v>0</v>
      </c>
    </row>
    <row r="10" spans="2:34" ht="30" customHeight="1" x14ac:dyDescent="0.25">
      <c r="B10" s="2" t="s">
        <v>58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COUNTA(November[[#This Row],[1]:[ ]])</f>
        <v>0</v>
      </c>
    </row>
    <row r="11" spans="2:34" ht="30" customHeight="1" x14ac:dyDescent="0.25">
      <c r="B11" s="2" t="s">
        <v>59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3">
        <f>COUNTA(November[[#This Row],[1]:[ ]])</f>
        <v>0</v>
      </c>
    </row>
    <row r="12" spans="2:34" ht="30" customHeight="1" x14ac:dyDescent="0.25">
      <c r="B12" s="2" t="s">
        <v>60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COUNTA(November[[#This Row],[1]:[ ]])</f>
        <v>0</v>
      </c>
    </row>
    <row r="13" spans="2:34" ht="30" customHeight="1" x14ac:dyDescent="0.25">
      <c r="B13" s="2" t="s">
        <v>61</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3">
        <f>COUNTA(November[[#This Row],[1]:[ ]])</f>
        <v>0</v>
      </c>
    </row>
    <row r="14" spans="2:34" ht="30" customHeight="1" x14ac:dyDescent="0.25">
      <c r="B14" s="5" t="str">
        <f>MonthName&amp;" Total"</f>
        <v>November Total</v>
      </c>
      <c r="C14" s="4">
        <f>SUBTOTAL(103,November[1])</f>
        <v>0</v>
      </c>
      <c r="D14" s="4">
        <f>SUBTOTAL(103,November[2])</f>
        <v>0</v>
      </c>
      <c r="E14" s="4">
        <f>SUBTOTAL(103,November[3])</f>
        <v>0</v>
      </c>
      <c r="F14" s="4">
        <f>SUBTOTAL(103,November[4])</f>
        <v>0</v>
      </c>
      <c r="G14" s="4">
        <f>SUBTOTAL(103,November[5])</f>
        <v>0</v>
      </c>
      <c r="H14" s="4">
        <f>SUBTOTAL(103,November[6])</f>
        <v>0</v>
      </c>
      <c r="I14" s="4">
        <f>SUBTOTAL(103,November[7])</f>
        <v>0</v>
      </c>
      <c r="J14" s="4">
        <f>SUBTOTAL(103,November[8])</f>
        <v>0</v>
      </c>
      <c r="K14" s="4">
        <f>SUBTOTAL(103,November[9])</f>
        <v>0</v>
      </c>
      <c r="L14" s="4">
        <f>SUBTOTAL(103,November[10])</f>
        <v>0</v>
      </c>
      <c r="M14" s="4">
        <f>SUBTOTAL(103,November[11])</f>
        <v>0</v>
      </c>
      <c r="N14" s="4">
        <f>SUBTOTAL(103,November[12])</f>
        <v>0</v>
      </c>
      <c r="O14" s="4">
        <f>SUBTOTAL(103,November[13])</f>
        <v>0</v>
      </c>
      <c r="P14" s="4">
        <f>SUBTOTAL(103,November[14])</f>
        <v>0</v>
      </c>
      <c r="Q14" s="4">
        <f>SUBTOTAL(103,November[15])</f>
        <v>0</v>
      </c>
      <c r="R14" s="4">
        <f>SUBTOTAL(103,November[16])</f>
        <v>0</v>
      </c>
      <c r="S14" s="4">
        <f>SUBTOTAL(103,November[17])</f>
        <v>0</v>
      </c>
      <c r="T14" s="4">
        <f>SUBTOTAL(103,November[18])</f>
        <v>0</v>
      </c>
      <c r="U14" s="4">
        <f>SUBTOTAL(103,November[19])</f>
        <v>0</v>
      </c>
      <c r="V14" s="4">
        <f>SUBTOTAL(103,November[20])</f>
        <v>0</v>
      </c>
      <c r="W14" s="4">
        <f>SUBTOTAL(103,November[21])</f>
        <v>0</v>
      </c>
      <c r="X14" s="4">
        <f>SUBTOTAL(103,November[22])</f>
        <v>0</v>
      </c>
      <c r="Y14" s="4">
        <f>SUBTOTAL(103,November[23])</f>
        <v>0</v>
      </c>
      <c r="Z14" s="4">
        <f>SUBTOTAL(103,November[24])</f>
        <v>0</v>
      </c>
      <c r="AA14" s="4">
        <f>SUBTOTAL(103,November[25])</f>
        <v>0</v>
      </c>
      <c r="AB14" s="4">
        <f>SUBTOTAL(103,November[26])</f>
        <v>0</v>
      </c>
      <c r="AC14" s="4">
        <f>SUBTOTAL(103,November[27])</f>
        <v>0</v>
      </c>
      <c r="AD14" s="4">
        <f>SUBTOTAL(103,November[28])</f>
        <v>0</v>
      </c>
      <c r="AE14" s="4">
        <f>SUBTOTAL(103,November[29])</f>
        <v>0</v>
      </c>
      <c r="AF14" s="4">
        <f>SUBTOTAL(109,November[30])</f>
        <v>0</v>
      </c>
      <c r="AG14" s="4">
        <f>SUBTOTAL(109,November[[ ]])</f>
        <v>0</v>
      </c>
      <c r="AH14" s="4">
        <f>SUBTOTAL(109,November[Total days])</f>
        <v>0</v>
      </c>
    </row>
  </sheetData>
  <mergeCells count="6">
    <mergeCell ref="C6:AG6"/>
    <mergeCell ref="D4:F4"/>
    <mergeCell ref="H4:J4"/>
    <mergeCell ref="L4:M4"/>
    <mergeCell ref="O4:Q4"/>
    <mergeCell ref="S4:U4"/>
  </mergeCells>
  <conditionalFormatting sqref="C9:AG13">
    <cfRule type="expression" priority="1" stopIfTrue="1">
      <formula>C9=""</formula>
    </cfRule>
    <cfRule type="expression" dxfId="147" priority="2" stopIfTrue="1">
      <formula>C9=KeyCustom2</formula>
    </cfRule>
    <cfRule type="expression" dxfId="146" priority="3" stopIfTrue="1">
      <formula>C9=KeyCustom1</formula>
    </cfRule>
    <cfRule type="expression" dxfId="145" priority="4" stopIfTrue="1">
      <formula>C9=KeySick</formula>
    </cfRule>
    <cfRule type="expression" dxfId="144" priority="5" stopIfTrue="1">
      <formula>C9=KeyPersonal</formula>
    </cfRule>
    <cfRule type="expression" dxfId="143" priority="6" stopIfTrue="1">
      <formula>C9=KeyVacation</formula>
    </cfRule>
  </conditionalFormatting>
  <conditionalFormatting sqref="AH9:AH13">
    <cfRule type="dataBar" priority="7">
      <dataBar>
        <cfvo type="min"/>
        <cfvo type="formula" val="DATEDIF(DATE(CalendarYear,2,1),DATE(CalendarYear,3,1),&quot;d&quot;)"/>
        <color theme="2" tint="-0.249977111117893"/>
      </dataBar>
      <extLst>
        <ext xmlns:x14="http://schemas.microsoft.com/office/spreadsheetml/2009/9/main" uri="{B025F937-C7B1-47D3-B67F-A62EFF666E3E}">
          <x14:id>{27D92E49-5CF1-46DF-AD7A-3A5E92F274F3}</x14:id>
        </ext>
      </extLst>
    </cfRule>
  </conditionalFormatting>
  <dataValidations count="15">
    <dataValidation allowBlank="1" showInputMessage="1" showErrorMessage="1" prompt="Days of the month in this row are automatically generated. Enter an employee's absence and absence type in each column for each day of the month. Blank means no absence" sqref="C8" xr:uid="{97706874-D6EF-7649-8BB0-992E1F25B736}"/>
    <dataValidation allowBlank="1" showInputMessage="1" showErrorMessage="1" prompt="Month name for this absence schedule is in this cell. Absence totals for this month are in last cell of the table. Select employee names in table column B" sqref="B2" xr:uid="{00000000-0002-0000-0A00-000001000000}"/>
    <dataValidation allowBlank="1" showInputMessage="1" showErrorMessage="1" prompt="This row defines the keys used in the table: cell C4 is Vacation, G4 is Personal, &amp; K4 is Sick leave. Cells N4 &amp; R4 are customizable " sqref="B4" xr:uid="{3113BD82-2D3E-8F4A-8BB6-5BEEE7BE0789}"/>
    <dataValidation allowBlank="1" showInputMessage="1" showErrorMessage="1" prompt="Enter a label to describe the custom key at left" sqref="O4:Q4 S4:U4" xr:uid="{2D3A090B-F718-4F41-8211-E6CC79F16B14}"/>
    <dataValidation allowBlank="1" showInputMessage="1" showErrorMessage="1" prompt="Enter a letter and customize the label at right to add another key item" sqref="N4 R4" xr:uid="{4AA8F930-0666-B342-B223-6859D3ED72AA}"/>
    <dataValidation allowBlank="1" showInputMessage="1" showErrorMessage="1" prompt="The letter &quot;S&quot; indicates absence due to illness" sqref="K4" xr:uid="{E3290C1F-2EBB-F545-A50F-DF2335729F55}"/>
    <dataValidation allowBlank="1" showInputMessage="1" showErrorMessage="1" prompt="The letter &quot;P&quot; indicates absence due to personal reasons" sqref="G4" xr:uid="{FE1B1844-2315-B443-8B6F-709F2D8FD91A}"/>
    <dataValidation allowBlank="1" showInputMessage="1" showErrorMessage="1" prompt="The letter &quot;V&quot; indicates absence due to vacation" sqref="C4" xr:uid="{1EA742A5-682B-AB4E-9F1E-EC4DA4D0EE38}"/>
    <dataValidation allowBlank="1" showInputMessage="1" showErrorMessage="1" prompt="Automatically updated title is in this cell. To modify the title, update B1 on January worksheet" sqref="B2" xr:uid="{00000000-0002-0000-0A00-000008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3B118AC1-307A-6645-A98D-9A80D2AE0EE3}"/>
    <dataValidation allowBlank="1" showInputMessage="1" showErrorMessage="1" prompt="Track November absence in this worksheet" sqref="A1" xr:uid="{00000000-0002-0000-0A00-00000A000000}"/>
    <dataValidation allowBlank="1" showInputMessage="1" showErrorMessage="1" prompt="Automatically calculates total number of days an employee was absent this month in this column" sqref="AH8" xr:uid="{689D502A-5D97-B44F-AA8E-4AB5A8802DDE}"/>
    <dataValidation allowBlank="1" showInputMessage="1" showErrorMessage="1" prompt="Automatically updated year based on year entered in January worksheet" sqref="AH6" xr:uid="{CA024147-D189-C949-8452-0A51ECF8D4AA}"/>
    <dataValidation allowBlank="1" showInputMessage="1" showErrorMessage="1" prompt="Weekdays in this row are automatically updated for the month according to the year in AH4. Each day of the month is a column to note an employee's absence and absence type" sqref="C7" xr:uid="{DEEC83F4-4C72-7D4D-B442-B00CC4990A25}"/>
    <dataValidation allowBlank="1" showInputMessage="1" showErrorMessage="1" prompt="Title of the worksheet is in this cell. " sqref="B1" xr:uid="{C3B9D9EA-9B20-4756-B664-7AA7A0EDAD13}"/>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7D92E49-5CF1-46DF-AD7A-3A5E92F274F3}">
            <x14:dataBar minLength="0" maxLength="100">
              <x14:cfvo type="autoMin"/>
              <x14:cfvo type="formula">
                <xm:f>DATEDIF(DATE(CalendarYear,2,1),DATE(CalendarYear,3,1),"d")</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E000000}">
          <x14:formula1>
            <xm:f>'Employee names'!$B$4:$B$8</xm:f>
          </x14:formula1>
          <xm:sqref>B9:B13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pageSetUpPr fitToPage="1"/>
  </sheetPr>
  <dimension ref="B1:AH14"/>
  <sheetViews>
    <sheetView showGridLines="0" zoomScaleNormal="100" workbookViewId="0">
      <selection activeCell="B2" sqref="B2"/>
    </sheetView>
  </sheetViews>
  <sheetFormatPr defaultColWidth="8.710937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2:34" ht="49.9" customHeight="1" x14ac:dyDescent="0.35">
      <c r="B1" s="25" t="s">
        <v>54</v>
      </c>
    </row>
    <row r="2" spans="2:34" ht="100.15" customHeight="1" x14ac:dyDescent="0.25">
      <c r="B2" s="39" t="s">
        <v>52</v>
      </c>
    </row>
    <row r="3" spans="2:34" ht="1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2: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2:34" ht="15" customHeight="1"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CalendarYear</f>
        <v>2025</v>
      </c>
    </row>
    <row r="7" spans="2:34" ht="30" customHeight="1" x14ac:dyDescent="0.25">
      <c r="B7" s="7"/>
      <c r="C7" s="23" t="str">
        <f ca="1">TEXT(WEEKDAY(DATE(CalendarYear,12,1),1),"aaa")</f>
        <v>Mon</v>
      </c>
      <c r="D7" s="23" t="str">
        <f ca="1">TEXT(WEEKDAY(DATE(CalendarYear,12,2),1),"aaa")</f>
        <v>Tue</v>
      </c>
      <c r="E7" s="23" t="str">
        <f ca="1">TEXT(WEEKDAY(DATE(CalendarYear,12,3),1),"aaa")</f>
        <v>Wed</v>
      </c>
      <c r="F7" s="23" t="str">
        <f ca="1">TEXT(WEEKDAY(DATE(CalendarYear,12,4),1),"aaa")</f>
        <v>Thu</v>
      </c>
      <c r="G7" s="23" t="str">
        <f ca="1">TEXT(WEEKDAY(DATE(CalendarYear,12,5),1),"aaa")</f>
        <v>Fri</v>
      </c>
      <c r="H7" s="23" t="str">
        <f ca="1">TEXT(WEEKDAY(DATE(CalendarYear,12,6),1),"aaa")</f>
        <v>Sat</v>
      </c>
      <c r="I7" s="23" t="str">
        <f ca="1">TEXT(WEEKDAY(DATE(CalendarYear,12,7),1),"aaa")</f>
        <v>Sun</v>
      </c>
      <c r="J7" s="23" t="str">
        <f ca="1">TEXT(WEEKDAY(DATE(CalendarYear,12,8),1),"aaa")</f>
        <v>Mon</v>
      </c>
      <c r="K7" s="23" t="str">
        <f ca="1">TEXT(WEEKDAY(DATE(CalendarYear,12,9),1),"aaa")</f>
        <v>Tue</v>
      </c>
      <c r="L7" s="23" t="str">
        <f ca="1">TEXT(WEEKDAY(DATE(CalendarYear,12,10),1),"aaa")</f>
        <v>Wed</v>
      </c>
      <c r="M7" s="23" t="str">
        <f ca="1">TEXT(WEEKDAY(DATE(CalendarYear,12,11),1),"aaa")</f>
        <v>Thu</v>
      </c>
      <c r="N7" s="23" t="str">
        <f ca="1">TEXT(WEEKDAY(DATE(CalendarYear,12,12),1),"aaa")</f>
        <v>Fri</v>
      </c>
      <c r="O7" s="23" t="str">
        <f ca="1">TEXT(WEEKDAY(DATE(CalendarYear,12,13),1),"aaa")</f>
        <v>Sat</v>
      </c>
      <c r="P7" s="23" t="str">
        <f ca="1">TEXT(WEEKDAY(DATE(CalendarYear,12,14),1),"aaa")</f>
        <v>Sun</v>
      </c>
      <c r="Q7" s="23" t="str">
        <f ca="1">TEXT(WEEKDAY(DATE(CalendarYear,12,15),1),"aaa")</f>
        <v>Mon</v>
      </c>
      <c r="R7" s="23" t="str">
        <f ca="1">TEXT(WEEKDAY(DATE(CalendarYear,12,16),1),"aaa")</f>
        <v>Tue</v>
      </c>
      <c r="S7" s="23" t="str">
        <f ca="1">TEXT(WEEKDAY(DATE(CalendarYear,12,17),1),"aaa")</f>
        <v>Wed</v>
      </c>
      <c r="T7" s="23" t="str">
        <f ca="1">TEXT(WEEKDAY(DATE(CalendarYear,12,18),1),"aaa")</f>
        <v>Thu</v>
      </c>
      <c r="U7" s="23" t="str">
        <f ca="1">TEXT(WEEKDAY(DATE(CalendarYear,12,19),1),"aaa")</f>
        <v>Fri</v>
      </c>
      <c r="V7" s="23" t="str">
        <f ca="1">TEXT(WEEKDAY(DATE(CalendarYear,12,20),1),"aaa")</f>
        <v>Sat</v>
      </c>
      <c r="W7" s="23" t="str">
        <f ca="1">TEXT(WEEKDAY(DATE(CalendarYear,12,21),1),"aaa")</f>
        <v>Sun</v>
      </c>
      <c r="X7" s="23" t="str">
        <f ca="1">TEXT(WEEKDAY(DATE(CalendarYear,12,22),1),"aaa")</f>
        <v>Mon</v>
      </c>
      <c r="Y7" s="23" t="str">
        <f ca="1">TEXT(WEEKDAY(DATE(CalendarYear,12,23),1),"aaa")</f>
        <v>Tue</v>
      </c>
      <c r="Z7" s="23" t="str">
        <f ca="1">TEXT(WEEKDAY(DATE(CalendarYear,12,24),1),"aaa")</f>
        <v>Wed</v>
      </c>
      <c r="AA7" s="23" t="str">
        <f ca="1">TEXT(WEEKDAY(DATE(CalendarYear,12,25),1),"aaa")</f>
        <v>Thu</v>
      </c>
      <c r="AB7" s="23" t="str">
        <f ca="1">TEXT(WEEKDAY(DATE(CalendarYear,12,26),1),"aaa")</f>
        <v>Fri</v>
      </c>
      <c r="AC7" s="23" t="str">
        <f ca="1">TEXT(WEEKDAY(DATE(CalendarYear,12,27),1),"aaa")</f>
        <v>Sat</v>
      </c>
      <c r="AD7" s="23" t="str">
        <f ca="1">TEXT(WEEKDAY(DATE(CalendarYear,12,28),1),"aaa")</f>
        <v>Sun</v>
      </c>
      <c r="AE7" s="23" t="str">
        <f ca="1">TEXT(WEEKDAY(DATE(CalendarYear,12,29),1),"aaa")</f>
        <v>Mon</v>
      </c>
      <c r="AF7" s="23" t="str">
        <f ca="1">TEXT(WEEKDAY(DATE(CalendarYear,12,30),1),"aaa")</f>
        <v>Tue</v>
      </c>
      <c r="AG7" s="23" t="str">
        <f ca="1">TEXT(WEEKDAY(DATE(CalendarYear,12,31),1),"aaa")</f>
        <v>Wed</v>
      </c>
      <c r="AH7" s="7"/>
    </row>
    <row r="8" spans="2: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24" t="s">
        <v>63</v>
      </c>
    </row>
    <row r="9" spans="2:34" ht="30" customHeight="1" x14ac:dyDescent="0.25">
      <c r="B9" s="2" t="s">
        <v>57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3">
        <f>COUNTA(December[[#This Row],[1]:[31]])</f>
        <v>0</v>
      </c>
    </row>
    <row r="10" spans="2:34" ht="30" customHeight="1" x14ac:dyDescent="0.25">
      <c r="B10" s="2" t="s">
        <v>58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COUNTA(December[[#This Row],[1]:[31]])</f>
        <v>0</v>
      </c>
    </row>
    <row r="11" spans="2:34" ht="30" customHeight="1" x14ac:dyDescent="0.25">
      <c r="B11" s="2" t="s">
        <v>59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3">
        <f>COUNTA(December[[#This Row],[1]:[31]])</f>
        <v>0</v>
      </c>
    </row>
    <row r="12" spans="2:34" ht="30" customHeight="1" x14ac:dyDescent="0.25">
      <c r="B12" s="2" t="s">
        <v>60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COUNTA(December[[#This Row],[1]:[31]])</f>
        <v>0</v>
      </c>
    </row>
    <row r="13" spans="2:34" ht="30" customHeight="1" x14ac:dyDescent="0.25">
      <c r="B13" s="2" t="s">
        <v>61</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3">
        <f>COUNTA(December[[#This Row],[1]:[31]])</f>
        <v>0</v>
      </c>
    </row>
    <row r="14" spans="2:34" ht="30" customHeight="1" x14ac:dyDescent="0.25">
      <c r="B14" s="5" t="str">
        <f>MonthName&amp;" Total"</f>
        <v>December Total</v>
      </c>
      <c r="C14" s="4">
        <f>SUBTOTAL(103,December[1])</f>
        <v>0</v>
      </c>
      <c r="D14" s="4">
        <f>SUBTOTAL(103,December[2])</f>
        <v>0</v>
      </c>
      <c r="E14" s="4">
        <f>SUBTOTAL(103,December[3])</f>
        <v>0</v>
      </c>
      <c r="F14" s="4">
        <f>SUBTOTAL(103,December[4])</f>
        <v>0</v>
      </c>
      <c r="G14" s="4">
        <f>SUBTOTAL(103,December[5])</f>
        <v>0</v>
      </c>
      <c r="H14" s="4">
        <f>SUBTOTAL(103,December[6])</f>
        <v>0</v>
      </c>
      <c r="I14" s="4">
        <f>SUBTOTAL(103,December[7])</f>
        <v>0</v>
      </c>
      <c r="J14" s="4">
        <f>SUBTOTAL(103,December[8])</f>
        <v>0</v>
      </c>
      <c r="K14" s="4">
        <f>SUBTOTAL(103,December[9])</f>
        <v>0</v>
      </c>
      <c r="L14" s="4">
        <f>SUBTOTAL(103,December[10])</f>
        <v>0</v>
      </c>
      <c r="M14" s="4">
        <f>SUBTOTAL(103,December[11])</f>
        <v>0</v>
      </c>
      <c r="N14" s="4">
        <f>SUBTOTAL(103,December[12])</f>
        <v>0</v>
      </c>
      <c r="O14" s="4">
        <f>SUBTOTAL(103,December[13])</f>
        <v>0</v>
      </c>
      <c r="P14" s="4">
        <f>SUBTOTAL(103,December[14])</f>
        <v>0</v>
      </c>
      <c r="Q14" s="4">
        <f>SUBTOTAL(103,December[15])</f>
        <v>0</v>
      </c>
      <c r="R14" s="4">
        <f>SUBTOTAL(103,December[16])</f>
        <v>0</v>
      </c>
      <c r="S14" s="4">
        <f>SUBTOTAL(103,December[17])</f>
        <v>0</v>
      </c>
      <c r="T14" s="4">
        <f>SUBTOTAL(103,December[18])</f>
        <v>0</v>
      </c>
      <c r="U14" s="4">
        <f>SUBTOTAL(103,December[19])</f>
        <v>0</v>
      </c>
      <c r="V14" s="4">
        <f>SUBTOTAL(103,December[20])</f>
        <v>0</v>
      </c>
      <c r="W14" s="4">
        <f>SUBTOTAL(103,December[21])</f>
        <v>0</v>
      </c>
      <c r="X14" s="4">
        <f>SUBTOTAL(103,December[22])</f>
        <v>0</v>
      </c>
      <c r="Y14" s="4">
        <f>SUBTOTAL(103,December[23])</f>
        <v>0</v>
      </c>
      <c r="Z14" s="4">
        <f>SUBTOTAL(103,December[24])</f>
        <v>0</v>
      </c>
      <c r="AA14" s="4">
        <f>SUBTOTAL(103,December[25])</f>
        <v>0</v>
      </c>
      <c r="AB14" s="4">
        <f>SUBTOTAL(103,December[26])</f>
        <v>0</v>
      </c>
      <c r="AC14" s="4">
        <f>SUBTOTAL(103,December[27])</f>
        <v>0</v>
      </c>
      <c r="AD14" s="4">
        <f>SUBTOTAL(103,December[28])</f>
        <v>0</v>
      </c>
      <c r="AE14" s="4">
        <f>SUBTOTAL(103,December[29])</f>
        <v>0</v>
      </c>
      <c r="AF14" s="4">
        <f>SUBTOTAL(109,December[30])</f>
        <v>0</v>
      </c>
      <c r="AG14" s="4">
        <f>SUBTOTAL(109,December[31])</f>
        <v>0</v>
      </c>
      <c r="AH14" s="4">
        <f>SUBTOTAL(109,December[Total days])</f>
        <v>0</v>
      </c>
    </row>
  </sheetData>
  <mergeCells count="6">
    <mergeCell ref="C6:AG6"/>
    <mergeCell ref="D4:F4"/>
    <mergeCell ref="H4:J4"/>
    <mergeCell ref="L4:M4"/>
    <mergeCell ref="O4:Q4"/>
    <mergeCell ref="S4:U4"/>
  </mergeCells>
  <conditionalFormatting sqref="C9:AG13">
    <cfRule type="expression" priority="1" stopIfTrue="1">
      <formula>C9=""</formula>
    </cfRule>
    <cfRule type="expression" dxfId="73" priority="2" stopIfTrue="1">
      <formula>C9=KeyCustom2</formula>
    </cfRule>
    <cfRule type="expression" dxfId="72" priority="3" stopIfTrue="1">
      <formula>C9=KeyCustom1</formula>
    </cfRule>
    <cfRule type="expression" dxfId="71" priority="4" stopIfTrue="1">
      <formula>C9=KeySick</formula>
    </cfRule>
    <cfRule type="expression" dxfId="70" priority="5" stopIfTrue="1">
      <formula>C9=KeyPersonal</formula>
    </cfRule>
    <cfRule type="expression" dxfId="69" priority="6" stopIfTrue="1">
      <formula>C9=KeyVacation</formula>
    </cfRule>
  </conditionalFormatting>
  <conditionalFormatting sqref="AH9:AH13">
    <cfRule type="dataBar" priority="30">
      <dataBar>
        <cfvo type="min"/>
        <cfvo type="formula" val="DATEDIF(DATE(CalendarYear,2,1),DATE(CalendarYear,3,1),&quot;d&quot;)"/>
        <color theme="2" tint="-0.249977111117893"/>
      </dataBar>
      <extLst>
        <ext xmlns:x14="http://schemas.microsoft.com/office/spreadsheetml/2009/9/main" uri="{B025F937-C7B1-47D3-B67F-A62EFF666E3E}">
          <x14:id>{17586780-365B-4F4C-BBB4-F5991705D361}</x14:id>
        </ext>
      </extLst>
    </cfRule>
  </conditionalFormatting>
  <dataValidations count="14">
    <dataValidation allowBlank="1" showInputMessage="1" showErrorMessage="1" prompt="Automatically updated year based on year entered in January worksheet" sqref="AH6" xr:uid="{F939E1BE-E9C7-DD4A-972C-CB40EF785EA4}"/>
    <dataValidation allowBlank="1" showInputMessage="1" showErrorMessage="1" prompt="Automatically calculates total number of days an employee was absent this month in this column" sqref="AH8" xr:uid="{E810E773-697E-9042-BA14-6FFBF70DB80B}"/>
    <dataValidation allowBlank="1" showInputMessage="1" showErrorMessage="1" prompt="Track December absence in this worksheet" sqref="A1" xr:uid="{00000000-0002-0000-0B00-000002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F25CB198-02E4-9141-B0E1-E7775C53D7BD}"/>
    <dataValidation allowBlank="1" showInputMessage="1" showErrorMessage="1" prompt="The letter &quot;V&quot; indicates absence due to vacation" sqref="C4" xr:uid="{ED4A15C0-8DA5-2043-A297-E9A845742425}"/>
    <dataValidation allowBlank="1" showInputMessage="1" showErrorMessage="1" prompt="The letter &quot;P&quot; indicates absence due to personal reasons" sqref="G4" xr:uid="{7207D7FD-5017-EF42-9569-45A9524170F8}"/>
    <dataValidation allowBlank="1" showInputMessage="1" showErrorMessage="1" prompt="The letter &quot;S&quot; indicates absence due to illness" sqref="K4" xr:uid="{4D084239-C8FB-C046-9230-A15D4D47B694}"/>
    <dataValidation allowBlank="1" showInputMessage="1" showErrorMessage="1" prompt="Enter a letter and customize the label at right to add another key item" sqref="N4 R4" xr:uid="{0DF704A8-DCAE-FA47-8E43-6E8199D9D1C3}"/>
    <dataValidation allowBlank="1" showInputMessage="1" showErrorMessage="1" prompt="Enter a label to describe the custom key at left" sqref="O4:Q4 S4:U4" xr:uid="{FCF8A90C-1CD6-4D49-B950-62F1E1562EA4}"/>
    <dataValidation allowBlank="1" showInputMessage="1" showErrorMessage="1" prompt="Month name for this absence schedule is in this cell. Absence totals for this month are in last cell of the table. Select employee names in table column B" sqref="B2" xr:uid="{00000000-0002-0000-0B00-00000B000000}"/>
    <dataValidation allowBlank="1" showInputMessage="1" showErrorMessage="1" prompt="Days of the month in this row are automatically generated. Enter an employee's absence and absence type in each column for each day of the month. Blank means no absence" sqref="C8" xr:uid="{0482EFB3-0A55-4547-B0F2-69F4B25A0231}"/>
    <dataValidation allowBlank="1" showInputMessage="1" showErrorMessage="1" prompt="Title of the worksheet is in this cell. " sqref="B1" xr:uid="{FDB263A1-B6DC-D444-9FD0-77187D984860}"/>
    <dataValidation allowBlank="1" showInputMessage="1" showErrorMessage="1" prompt="Weekdays in this row are automatically updated for the month according to the year in AH4. Each day of the month is a column to note an employee's absence and absence type" sqref="C7" xr:uid="{CB1E42E3-65E1-5041-91B2-633C92F4BB63}"/>
    <dataValidation allowBlank="1" showInputMessage="1" showErrorMessage="1" prompt="This row defines the keys used in the table: cell C4 is Vacation, G4 is Personal, &amp; K4 is Sick leave. Cells N4 &amp; R4 are customizable " sqref="B4" xr:uid="{7C3D3AA3-51C0-46FC-A6A3-BE2B656A1D6B}"/>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7586780-365B-4F4C-BBB4-F5991705D361}">
            <x14:dataBar minLength="0" maxLength="100">
              <x14:cfvo type="autoMin"/>
              <x14:cfvo type="formula">
                <xm:f>DATEDIF(DATE(CalendarYear,2,1),DATE(CalendarYear,3,1),"d")</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E000000}">
          <x14:formula1>
            <xm:f>'Employee names'!$B$4:$B$8</xm:f>
          </x14:formula1>
          <xm:sqref>B9:B13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B1:B8"/>
  <sheetViews>
    <sheetView showGridLines="0" workbookViewId="0">
      <selection activeCell="E4" sqref="E4"/>
    </sheetView>
  </sheetViews>
  <sheetFormatPr defaultColWidth="8.7109375" defaultRowHeight="30" customHeight="1" x14ac:dyDescent="0.25"/>
  <cols>
    <col min="1" max="1" width="2.7109375" customWidth="1"/>
    <col min="2" max="2" width="30.7109375" customWidth="1"/>
    <col min="3" max="3" width="2.7109375" customWidth="1"/>
  </cols>
  <sheetData>
    <row r="1" spans="2:2" ht="49.9" customHeight="1" x14ac:dyDescent="0.35">
      <c r="B1" s="13" t="s">
        <v>64</v>
      </c>
    </row>
    <row r="2" spans="2:2" ht="15" customHeight="1" x14ac:dyDescent="0.25"/>
    <row r="3" spans="2:2" ht="30" customHeight="1" x14ac:dyDescent="0.25">
      <c r="B3" t="s">
        <v>53</v>
      </c>
    </row>
    <row r="4" spans="2:2" ht="30" customHeight="1" x14ac:dyDescent="0.25">
      <c r="B4" s="6" t="s">
        <v>57</v>
      </c>
    </row>
    <row r="5" spans="2:2" ht="30" customHeight="1" x14ac:dyDescent="0.25">
      <c r="B5" s="6" t="s">
        <v>58</v>
      </c>
    </row>
    <row r="6" spans="2:2" ht="30" customHeight="1" x14ac:dyDescent="0.25">
      <c r="B6" s="6" t="s">
        <v>59</v>
      </c>
    </row>
    <row r="7" spans="2:2" ht="30" customHeight="1" x14ac:dyDescent="0.25">
      <c r="B7" s="6" t="s">
        <v>60</v>
      </c>
    </row>
    <row r="8" spans="2:2" ht="30" customHeight="1" x14ac:dyDescent="0.25">
      <c r="B8" s="6" t="s">
        <v>61</v>
      </c>
    </row>
  </sheetData>
  <dataValidations count="2">
    <dataValidation allowBlank="1" showInputMessage="1" showErrorMessage="1" prompt="Enter employee names in the employee name table in this worksheet. These names are used as options in Column B of each month's absence table" sqref="A1" xr:uid="{00000000-0002-0000-0C00-000001000000}"/>
    <dataValidation allowBlank="1" showInputMessage="1" showErrorMessage="1" prompt="Enter employee names in this column" sqref="B3" xr:uid="{00000000-0002-0000-0C00-000002000000}"/>
  </dataValidations>
  <pageMargins left="0.7" right="0.7" top="0.75" bottom="0.75" header="0.3" footer="0.3"/>
  <pageSetup orientation="portrait"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AH14"/>
  <sheetViews>
    <sheetView showGridLines="0" zoomScaleNormal="100" workbookViewId="0">
      <selection activeCell="B2" sqref="B2"/>
    </sheetView>
  </sheetViews>
  <sheetFormatPr defaultColWidth="8.710937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1:34" s="15" customFormat="1" ht="49.9" customHeight="1" x14ac:dyDescent="0.35">
      <c r="A1" s="14"/>
      <c r="B1" s="25" t="s">
        <v>54</v>
      </c>
    </row>
    <row r="2" spans="1:34" s="15" customFormat="1" ht="100.15" customHeight="1" x14ac:dyDescent="0.25">
      <c r="A2"/>
      <c r="B2" s="39" t="s">
        <v>36</v>
      </c>
    </row>
    <row r="3" spans="1:34" s="15" customFormat="1" ht="15" customHeight="1" x14ac:dyDescent="0.25">
      <c r="A3"/>
      <c r="B3" s="10"/>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1:34" ht="15" customHeight="1" x14ac:dyDescent="0.25">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8"/>
    </row>
    <row r="6" spans="1: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YEAR(TODAY())</f>
        <v>2025</v>
      </c>
    </row>
    <row r="7" spans="1:34" ht="30" customHeight="1" x14ac:dyDescent="0.25">
      <c r="B7" s="7"/>
      <c r="C7" s="23" t="str">
        <f ca="1">TEXT(WEEKDAY(DATE(CalendarYear,1,1),1),"aaa")</f>
        <v>Wed</v>
      </c>
      <c r="D7" s="23" t="str">
        <f ca="1">TEXT(WEEKDAY(DATE(CalendarYear,1,2),1),"aaa")</f>
        <v>Thu</v>
      </c>
      <c r="E7" s="23" t="str">
        <f ca="1">TEXT(WEEKDAY(DATE(CalendarYear,1,3),1),"aaa")</f>
        <v>Fri</v>
      </c>
      <c r="F7" s="23" t="str">
        <f ca="1">TEXT(WEEKDAY(DATE(CalendarYear,1,4),1),"aaa")</f>
        <v>Sat</v>
      </c>
      <c r="G7" s="23" t="str">
        <f ca="1">TEXT(WEEKDAY(DATE(CalendarYear,1,5),1),"aaa")</f>
        <v>Sun</v>
      </c>
      <c r="H7" s="23" t="str">
        <f ca="1">TEXT(WEEKDAY(DATE(CalendarYear,1,6),1),"aaa")</f>
        <v>Mon</v>
      </c>
      <c r="I7" s="23" t="str">
        <f ca="1">TEXT(WEEKDAY(DATE(CalendarYear,1,7),1),"aaa")</f>
        <v>Tue</v>
      </c>
      <c r="J7" s="23" t="str">
        <f ca="1">TEXT(WEEKDAY(DATE(CalendarYear,1,8),1),"aaa")</f>
        <v>Wed</v>
      </c>
      <c r="K7" s="23" t="str">
        <f ca="1">TEXT(WEEKDAY(DATE(CalendarYear,1,9),1),"aaa")</f>
        <v>Thu</v>
      </c>
      <c r="L7" s="23" t="str">
        <f ca="1">TEXT(WEEKDAY(DATE(CalendarYear,1,10),1),"aaa")</f>
        <v>Fri</v>
      </c>
      <c r="M7" s="23" t="str">
        <f ca="1">TEXT(WEEKDAY(DATE(CalendarYear,1,11),1),"aaa")</f>
        <v>Sat</v>
      </c>
      <c r="N7" s="23" t="str">
        <f ca="1">TEXT(WEEKDAY(DATE(CalendarYear,1,12),1),"aaa")</f>
        <v>Sun</v>
      </c>
      <c r="O7" s="23" t="str">
        <f ca="1">TEXT(WEEKDAY(DATE(CalendarYear,1,13),1),"aaa")</f>
        <v>Mon</v>
      </c>
      <c r="P7" s="23" t="str">
        <f ca="1">TEXT(WEEKDAY(DATE(CalendarYear,1,14),1),"aaa")</f>
        <v>Tue</v>
      </c>
      <c r="Q7" s="23" t="str">
        <f ca="1">TEXT(WEEKDAY(DATE(CalendarYear,1,15),1),"aaa")</f>
        <v>Wed</v>
      </c>
      <c r="R7" s="23" t="str">
        <f ca="1">TEXT(WEEKDAY(DATE(CalendarYear,1,16),1),"aaa")</f>
        <v>Thu</v>
      </c>
      <c r="S7" s="23" t="str">
        <f ca="1">TEXT(WEEKDAY(DATE(CalendarYear,1,17),1),"aaa")</f>
        <v>Fri</v>
      </c>
      <c r="T7" s="23" t="str">
        <f ca="1">TEXT(WEEKDAY(DATE(CalendarYear,1,18),1),"aaa")</f>
        <v>Sat</v>
      </c>
      <c r="U7" s="23" t="str">
        <f ca="1">TEXT(WEEKDAY(DATE(CalendarYear,1,19),1),"aaa")</f>
        <v>Sun</v>
      </c>
      <c r="V7" s="23" t="str">
        <f ca="1">TEXT(WEEKDAY(DATE(CalendarYear,1,20),1),"aaa")</f>
        <v>Mon</v>
      </c>
      <c r="W7" s="23" t="str">
        <f ca="1">TEXT(WEEKDAY(DATE(CalendarYear,1,21),1),"aaa")</f>
        <v>Tue</v>
      </c>
      <c r="X7" s="23" t="str">
        <f ca="1">TEXT(WEEKDAY(DATE(CalendarYear,1,22),1),"aaa")</f>
        <v>Wed</v>
      </c>
      <c r="Y7" s="23" t="str">
        <f ca="1">TEXT(WEEKDAY(DATE(CalendarYear,1,23),1),"aaa")</f>
        <v>Thu</v>
      </c>
      <c r="Z7" s="23" t="str">
        <f ca="1">TEXT(WEEKDAY(DATE(CalendarYear,1,24),1),"aaa")</f>
        <v>Fri</v>
      </c>
      <c r="AA7" s="23" t="str">
        <f ca="1">TEXT(WEEKDAY(DATE(CalendarYear,1,25),1),"aaa")</f>
        <v>Sat</v>
      </c>
      <c r="AB7" s="23" t="str">
        <f ca="1">TEXT(WEEKDAY(DATE(CalendarYear,1,26),1),"aaa")</f>
        <v>Sun</v>
      </c>
      <c r="AC7" s="23" t="str">
        <f ca="1">TEXT(WEEKDAY(DATE(CalendarYear,1,27),1),"aaa")</f>
        <v>Mon</v>
      </c>
      <c r="AD7" s="23" t="str">
        <f ca="1">TEXT(WEEKDAY(DATE(CalendarYear,1,28),1),"aaa")</f>
        <v>Tue</v>
      </c>
      <c r="AE7" s="23" t="str">
        <f ca="1">TEXT(WEEKDAY(DATE(CalendarYear,1,29),1),"aaa")</f>
        <v>Wed</v>
      </c>
      <c r="AF7" s="23" t="str">
        <f ca="1">TEXT(WEEKDAY(DATE(CalendarYear,1,30),1),"aaa")</f>
        <v>Thu</v>
      </c>
      <c r="AG7" s="23" t="str">
        <f ca="1">TEXT(WEEKDAY(DATE(CalendarYear,1,31),1),"aaa")</f>
        <v>Fri</v>
      </c>
      <c r="AH7" s="7"/>
    </row>
    <row r="8" spans="1: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24" t="s">
        <v>63</v>
      </c>
    </row>
    <row r="9" spans="1:34" ht="30" customHeight="1" x14ac:dyDescent="0.25">
      <c r="B9" s="2" t="s">
        <v>57</v>
      </c>
      <c r="C9" s="1"/>
      <c r="D9" s="1"/>
      <c r="E9" s="21" t="s">
        <v>32</v>
      </c>
      <c r="F9" s="21" t="s">
        <v>32</v>
      </c>
      <c r="G9" s="21" t="s">
        <v>32</v>
      </c>
      <c r="H9" s="21" t="s">
        <v>32</v>
      </c>
      <c r="I9" s="1"/>
      <c r="J9" s="1"/>
      <c r="K9" s="1"/>
      <c r="L9" s="1"/>
      <c r="M9" s="1"/>
      <c r="N9" s="1"/>
      <c r="O9" s="1" t="s">
        <v>32</v>
      </c>
      <c r="P9" s="1"/>
      <c r="Q9" s="1"/>
      <c r="R9" s="1"/>
      <c r="S9" s="1"/>
      <c r="T9" s="1"/>
      <c r="U9" s="1"/>
      <c r="V9" s="1"/>
      <c r="W9" s="1"/>
      <c r="X9" s="1"/>
      <c r="Y9" s="1"/>
      <c r="Z9" s="1"/>
      <c r="AA9" s="1"/>
      <c r="AB9" s="1"/>
      <c r="AC9" s="1"/>
      <c r="AD9" s="1"/>
      <c r="AE9" s="1"/>
      <c r="AF9" s="1"/>
      <c r="AG9" s="1"/>
      <c r="AH9" s="3">
        <f>COUNTA(January!$C9:$AG9)</f>
        <v>5</v>
      </c>
    </row>
    <row r="10" spans="1:34" ht="30" customHeight="1" x14ac:dyDescent="0.25">
      <c r="B10" s="2" t="s">
        <v>58</v>
      </c>
      <c r="C10" s="1"/>
      <c r="D10" s="1"/>
      <c r="E10" s="1"/>
      <c r="F10" s="1"/>
      <c r="G10" s="1" t="s">
        <v>31</v>
      </c>
      <c r="H10" s="1" t="s">
        <v>31</v>
      </c>
      <c r="I10" s="1"/>
      <c r="J10" s="1"/>
      <c r="K10" s="1"/>
      <c r="L10" s="1"/>
      <c r="M10" s="1" t="s">
        <v>35</v>
      </c>
      <c r="N10" s="1"/>
      <c r="O10" s="1"/>
      <c r="P10" s="1"/>
      <c r="Q10" s="1"/>
      <c r="R10" s="1"/>
      <c r="S10" s="1"/>
      <c r="T10" s="1"/>
      <c r="U10" s="1"/>
      <c r="V10" s="1" t="s">
        <v>31</v>
      </c>
      <c r="W10" s="1"/>
      <c r="X10" s="1"/>
      <c r="Y10" s="1"/>
      <c r="Z10" s="1"/>
      <c r="AA10" s="1" t="s">
        <v>32</v>
      </c>
      <c r="AB10" s="1" t="s">
        <v>32</v>
      </c>
      <c r="AC10" s="1" t="s">
        <v>32</v>
      </c>
      <c r="AD10" s="1"/>
      <c r="AE10" s="1"/>
      <c r="AF10" s="1"/>
      <c r="AG10" s="1"/>
      <c r="AH10" s="3">
        <f>COUNTA(January!$C10:$AG10)</f>
        <v>7</v>
      </c>
    </row>
    <row r="11" spans="1:34" ht="30" customHeight="1" x14ac:dyDescent="0.25">
      <c r="B11" s="2" t="s">
        <v>59</v>
      </c>
      <c r="C11" s="1"/>
      <c r="D11" s="1"/>
      <c r="E11" s="1" t="s">
        <v>35</v>
      </c>
      <c r="F11" s="1"/>
      <c r="G11" s="1"/>
      <c r="H11" s="1"/>
      <c r="I11" s="1"/>
      <c r="J11" s="1"/>
      <c r="K11" s="1"/>
      <c r="L11" s="1"/>
      <c r="M11" s="1"/>
      <c r="N11" s="1"/>
      <c r="O11" s="1"/>
      <c r="P11" s="1" t="s">
        <v>31</v>
      </c>
      <c r="Q11" s="1"/>
      <c r="R11" s="1"/>
      <c r="S11" s="1"/>
      <c r="T11" s="1"/>
      <c r="U11" s="1"/>
      <c r="V11" s="1"/>
      <c r="W11" s="1"/>
      <c r="X11" s="1"/>
      <c r="Y11" s="1"/>
      <c r="Z11" s="1"/>
      <c r="AA11" s="1"/>
      <c r="AB11" s="1"/>
      <c r="AC11" s="1"/>
      <c r="AD11" s="1"/>
      <c r="AE11" s="1" t="s">
        <v>31</v>
      </c>
      <c r="AF11" s="1"/>
      <c r="AG11" s="1"/>
      <c r="AH11" s="3">
        <f>COUNTA(January!$C11:$AG11)</f>
        <v>3</v>
      </c>
    </row>
    <row r="12" spans="1:34" ht="30" customHeight="1" x14ac:dyDescent="0.25">
      <c r="B12" s="2" t="s">
        <v>60</v>
      </c>
      <c r="C12" s="1"/>
      <c r="D12" s="1"/>
      <c r="E12" s="1"/>
      <c r="F12" s="1"/>
      <c r="G12" s="1"/>
      <c r="H12" s="1"/>
      <c r="I12" s="1" t="s">
        <v>35</v>
      </c>
      <c r="J12" s="1"/>
      <c r="K12" s="1"/>
      <c r="L12" s="1"/>
      <c r="M12" s="1"/>
      <c r="N12" s="1"/>
      <c r="O12" s="1"/>
      <c r="P12" s="1"/>
      <c r="Q12" s="1"/>
      <c r="R12" s="1"/>
      <c r="S12" s="1"/>
      <c r="T12" s="1"/>
      <c r="U12" s="1" t="s">
        <v>32</v>
      </c>
      <c r="V12" s="1" t="s">
        <v>32</v>
      </c>
      <c r="W12" s="1" t="s">
        <v>32</v>
      </c>
      <c r="X12" s="1"/>
      <c r="Y12" s="1"/>
      <c r="Z12" s="1"/>
      <c r="AA12" s="1"/>
      <c r="AB12" s="1"/>
      <c r="AC12" s="1"/>
      <c r="AD12" s="1"/>
      <c r="AE12" s="1"/>
      <c r="AF12" s="1"/>
      <c r="AG12" s="1"/>
      <c r="AH12" s="3">
        <f>COUNTA(January!$C12:$AG12)</f>
        <v>4</v>
      </c>
    </row>
    <row r="13" spans="1:34" ht="30" customHeight="1" x14ac:dyDescent="0.25">
      <c r="B13" s="2" t="s">
        <v>61</v>
      </c>
      <c r="C13" s="1"/>
      <c r="D13" s="1"/>
      <c r="E13" s="1"/>
      <c r="F13" s="1" t="s">
        <v>31</v>
      </c>
      <c r="G13" s="1" t="s">
        <v>32</v>
      </c>
      <c r="H13" s="1" t="s">
        <v>32</v>
      </c>
      <c r="I13" s="1"/>
      <c r="J13" s="1"/>
      <c r="K13" s="1"/>
      <c r="L13" s="1"/>
      <c r="M13" s="1"/>
      <c r="N13" s="1"/>
      <c r="O13" s="1"/>
      <c r="P13" s="1"/>
      <c r="Q13" s="1"/>
      <c r="R13" s="1"/>
      <c r="S13" s="1" t="s">
        <v>31</v>
      </c>
      <c r="T13" s="1"/>
      <c r="U13" s="1"/>
      <c r="V13" s="1"/>
      <c r="W13" s="1"/>
      <c r="X13" s="1"/>
      <c r="Y13" s="1"/>
      <c r="Z13" s="1" t="s">
        <v>31</v>
      </c>
      <c r="AA13" s="1"/>
      <c r="AB13" s="1"/>
      <c r="AC13" s="1"/>
      <c r="AD13" s="1"/>
      <c r="AE13" s="1"/>
      <c r="AF13" s="1"/>
      <c r="AG13" s="1" t="s">
        <v>32</v>
      </c>
      <c r="AH13" s="3">
        <f>COUNTA(January!$C13:$AG13)</f>
        <v>6</v>
      </c>
    </row>
    <row r="14" spans="1:34" ht="30" customHeight="1" x14ac:dyDescent="0.25">
      <c r="B14" s="5" t="str">
        <f>MonthName&amp;" total"</f>
        <v>January total</v>
      </c>
      <c r="C14" s="4">
        <f>SUBTOTAL(103,January!$C$9:$C$13)</f>
        <v>0</v>
      </c>
      <c r="D14" s="4">
        <f>SUBTOTAL(103,January!$D$9:$D$13)</f>
        <v>0</v>
      </c>
      <c r="E14" s="4">
        <f>SUBTOTAL(103,January!$E$9:$E$13)</f>
        <v>2</v>
      </c>
      <c r="F14" s="4">
        <f>SUBTOTAL(103,January!$F$9:$F$13)</f>
        <v>2</v>
      </c>
      <c r="G14" s="4">
        <f>SUBTOTAL(103,January!$G$9:$G$13)</f>
        <v>3</v>
      </c>
      <c r="H14" s="4">
        <f>SUBTOTAL(103,January!$H$9:$H$13)</f>
        <v>3</v>
      </c>
      <c r="I14" s="4">
        <f>SUBTOTAL(103,January!$I$9:$I$13)</f>
        <v>1</v>
      </c>
      <c r="J14" s="4">
        <f>SUBTOTAL(103,January!$J$9:$J$13)</f>
        <v>0</v>
      </c>
      <c r="K14" s="4">
        <f>SUBTOTAL(103,January!$K$9:$K$13)</f>
        <v>0</v>
      </c>
      <c r="L14" s="4">
        <f>SUBTOTAL(103,January!$L$9:$L$13)</f>
        <v>0</v>
      </c>
      <c r="M14" s="4">
        <f>SUBTOTAL(103,January!$M$9:$M$13)</f>
        <v>1</v>
      </c>
      <c r="N14" s="4">
        <f>SUBTOTAL(103,January!$N$9:$N$13)</f>
        <v>0</v>
      </c>
      <c r="O14" s="4">
        <f>SUBTOTAL(103,January!$O$9:$O$13)</f>
        <v>1</v>
      </c>
      <c r="P14" s="4">
        <f>SUBTOTAL(103,January!$P$9:$P$13)</f>
        <v>1</v>
      </c>
      <c r="Q14" s="4">
        <f>SUBTOTAL(103,January!$Q$9:$Q$13)</f>
        <v>0</v>
      </c>
      <c r="R14" s="4">
        <f>SUBTOTAL(103,January!$R$9:$R$13)</f>
        <v>0</v>
      </c>
      <c r="S14" s="4">
        <f>SUBTOTAL(103,January!$S$9:$S$13)</f>
        <v>1</v>
      </c>
      <c r="T14" s="4">
        <f>SUBTOTAL(103,January!$T$9:$T$13)</f>
        <v>0</v>
      </c>
      <c r="U14" s="4">
        <f>SUBTOTAL(103,January!$U$9:$U$13)</f>
        <v>1</v>
      </c>
      <c r="V14" s="4">
        <f>SUBTOTAL(103,January!$V$9:$V$13)</f>
        <v>2</v>
      </c>
      <c r="W14" s="4">
        <f>SUBTOTAL(103,January!$W$9:$W$13)</f>
        <v>1</v>
      </c>
      <c r="X14" s="4">
        <f>SUBTOTAL(103,January!$X$9:$X$13)</f>
        <v>0</v>
      </c>
      <c r="Y14" s="4">
        <f>SUBTOTAL(103,January!$Y$9:$Y$13)</f>
        <v>0</v>
      </c>
      <c r="Z14" s="4">
        <f>SUBTOTAL(103,January!$Z$9:$Z$13)</f>
        <v>1</v>
      </c>
      <c r="AA14" s="4">
        <f>SUBTOTAL(103,January!$AA$9:$AA$13)</f>
        <v>1</v>
      </c>
      <c r="AB14" s="4">
        <f>SUBTOTAL(103,January!$AB$9:$AB$13)</f>
        <v>1</v>
      </c>
      <c r="AC14" s="4">
        <f>SUBTOTAL(103,January!$AC$9:$AC$13)</f>
        <v>1</v>
      </c>
      <c r="AD14" s="4">
        <f>SUBTOTAL(103,January!$AD$9:$AD$13)</f>
        <v>0</v>
      </c>
      <c r="AE14" s="4">
        <f>SUBTOTAL(103,January!$AE$9:$AE$13)</f>
        <v>1</v>
      </c>
      <c r="AF14" s="4">
        <f>SUBTOTAL(103,January!$AF$9:$AF$13)</f>
        <v>0</v>
      </c>
      <c r="AG14" s="4">
        <f>SUBTOTAL(103,January!$AG$9:$AG$13)</f>
        <v>1</v>
      </c>
      <c r="AH14" s="4">
        <f>SUBTOTAL(109,January[Total days])</f>
        <v>25</v>
      </c>
    </row>
  </sheetData>
  <mergeCells count="6">
    <mergeCell ref="C6:AG6"/>
    <mergeCell ref="D4:F4"/>
    <mergeCell ref="H4:J4"/>
    <mergeCell ref="L4:M4"/>
    <mergeCell ref="O4:Q4"/>
    <mergeCell ref="S4:U4"/>
  </mergeCells>
  <conditionalFormatting sqref="C9:AG13">
    <cfRule type="expression" priority="3" stopIfTrue="1">
      <formula>C9=""</formula>
    </cfRule>
    <cfRule type="expression" dxfId="888" priority="8" stopIfTrue="1">
      <formula>C9=KeyCustom2</formula>
    </cfRule>
    <cfRule type="expression" dxfId="887" priority="9" stopIfTrue="1">
      <formula>C9=KeyCustom1</formula>
    </cfRule>
    <cfRule type="expression" dxfId="886" priority="10" stopIfTrue="1">
      <formula>C9=KeySick</formula>
    </cfRule>
    <cfRule type="expression" dxfId="885" priority="11" stopIfTrue="1">
      <formula>C9=KeyPersonal</formula>
    </cfRule>
    <cfRule type="expression" dxfId="884" priority="12" stopIfTrue="1">
      <formula>C9=KeyVacation</formula>
    </cfRule>
  </conditionalFormatting>
  <conditionalFormatting sqref="AH9:AH13">
    <cfRule type="dataBar" priority="170">
      <dataBar>
        <cfvo type="num" val="0"/>
        <cfvo type="num" val="31"/>
        <color theme="4"/>
      </dataBar>
      <extLst>
        <ext xmlns:x14="http://schemas.microsoft.com/office/spreadsheetml/2009/9/main" uri="{B025F937-C7B1-47D3-B67F-A62EFF666E3E}">
          <x14:id>{ECCE2C3C-1B01-4700-B60E-DAAAB19A9C1A}</x14:id>
        </ext>
      </extLst>
    </cfRule>
  </conditionalFormatting>
  <dataValidations count="16">
    <dataValidation allowBlank="1" showInputMessage="1" showErrorMessage="1" prompt="Days of the month in this row are automatically generated. Enter an employee's absence and absence type in each column for each day of the month. Blank means no absence" sqref="C8" xr:uid="{FAB55708-481E-2E48-9F66-3C8E8545F6B0}"/>
    <dataValidation allowBlank="1" showInputMessage="1" showErrorMessage="1" prompt="The letter &quot;V&quot; indicates absence due to vacation" sqref="C4" xr:uid="{9058FE4E-B17F-E943-9A83-5582DE92BDB6}"/>
    <dataValidation allowBlank="1" showInputMessage="1" showErrorMessage="1" prompt="The letter &quot;P&quot; indicates absence due to personal reasons" sqref="G4" xr:uid="{C4744D51-42B4-0342-B86A-BE9D6063B807}"/>
    <dataValidation allowBlank="1" showInputMessage="1" showErrorMessage="1" prompt="The letter &quot;S&quot; indicates absence due to illness" sqref="K4" xr:uid="{EBA2AA00-2D66-0547-8889-4D34A2A72241}"/>
    <dataValidation allowBlank="1" showInputMessage="1" showErrorMessage="1" prompt="Enter a letter and customize the label at right to add another key item" sqref="N4 R4" xr:uid="{FEABEF84-83D3-7D42-BA7C-926AE09CBA1E}"/>
    <dataValidation allowBlank="1" showInputMessage="1" showErrorMessage="1" prompt="Enter a label to describe the custom key at left" sqref="O4:Q4 S4:U4" xr:uid="{12884A59-5F75-0848-A6CD-363E691B1D2A}"/>
    <dataValidation allowBlank="1" showInputMessage="1" showErrorMessage="1" prompt="Employee Absence Schedule tracks employee absence by days for each month. There are 13 worksheets, 12 monthly &amp; last one for employee names. Track January absence in this worksheet" sqref="A1" xr:uid="{00000000-0002-0000-0000-00000D000000}"/>
    <dataValidation allowBlank="1" showInputMessage="1" showErrorMessage="1" prompt="Enter year in the cell below" sqref="AH5" xr:uid="{00000000-0002-0000-0000-00000E000000}"/>
    <dataValidation allowBlank="1" showInputMessage="1" showErrorMessage="1" prompt="Month name for this absence schedule is in this cell. Absence totals for this month are in last cell of the table. Select employee names in table column B" sqref="B2" xr:uid="{DF4494D1-42F6-BB47-AFAB-18021A3441AC}"/>
    <dataValidation allowBlank="1" showInputMessage="1" showErrorMessage="1" prompt="Automatically updated title is in this cell. To modify the title, update B1 on January worksheet" sqref="B2" xr:uid="{20FFCBA6-5698-4E4B-9E75-1B2FD678A862}"/>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FE3C1916-A13B-EF44-83B6-EF87C12834B2}"/>
    <dataValidation allowBlank="1" showInputMessage="1" showErrorMessage="1" prompt="Automatically calculates total number of days an employee was absent this month in this column" sqref="AH8" xr:uid="{17D68424-3ED0-774F-A440-37779B4905D7}"/>
    <dataValidation allowBlank="1" showInputMessage="1" showErrorMessage="1" prompt="Enter year in this cell" sqref="AH6" xr:uid="{00000000-0002-0000-0000-000000000000}"/>
    <dataValidation allowBlank="1" showInputMessage="1" showErrorMessage="1" prompt="Weekdays in this row are automatically updated for the month according to the year in AH4. Each day of the month is a column to note an employee's absence and absence type" sqref="C7" xr:uid="{F6CAA384-C773-F044-845D-980CB65F95B2}"/>
    <dataValidation allowBlank="1" showInputMessage="1" showErrorMessage="1" prompt="This row defines the keys used in the table: cell C4 is Vacation, G4 is Personal, &amp; K4 is Sick leave. Cells N4 &amp; R4 are customizable " sqref="B4" xr:uid="{254C5299-B8DC-4E28-AD10-F93B45AED253}"/>
    <dataValidation allowBlank="1" showInputMessage="1" showErrorMessage="1" prompt="Title of the worksheet is in this cell. " sqref="B1" xr:uid="{F61E6882-FE5C-43CD-B756-4B881652736D}"/>
  </dataValidations>
  <printOptions horizontalCentered="1"/>
  <pageMargins left="0.25" right="0.25" top="0.75" bottom="0.75" header="0.3" footer="0.3"/>
  <pageSetup scale="70"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CCE2C3C-1B01-4700-B60E-DAAAB19A9C1A}">
            <x14:dataBar minLength="0" maxLength="100" gradient="0">
              <x14:cfvo type="num">
                <xm:f>0</xm:f>
              </x14:cfvo>
              <x14:cfvo type="num">
                <xm:f>31</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F000000}">
          <x14:formula1>
            <xm:f>'Employee names'!$B$4:$B$8</xm:f>
          </x14:formula1>
          <xm:sqref>B9:B13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AH14"/>
  <sheetViews>
    <sheetView showGridLines="0" zoomScaleNormal="100" workbookViewId="0">
      <selection activeCell="B2" sqref="B2"/>
    </sheetView>
  </sheetViews>
  <sheetFormatPr defaultColWidth="9.14062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1:34" ht="49.9" customHeight="1" x14ac:dyDescent="0.35">
      <c r="B1" s="25" t="s">
        <v>54</v>
      </c>
    </row>
    <row r="2" spans="1:34" s="12" customFormat="1" ht="100.15" customHeight="1" x14ac:dyDescent="0.25">
      <c r="A2"/>
      <c r="B2" s="39" t="s">
        <v>42</v>
      </c>
    </row>
    <row r="3" spans="1:34" ht="1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1:34" ht="15" customHeight="1"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1: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CalendarYear</f>
        <v>2025</v>
      </c>
    </row>
    <row r="7" spans="1:34" ht="30" customHeight="1" x14ac:dyDescent="0.25">
      <c r="B7" s="7"/>
      <c r="C7" s="23" t="str">
        <f ca="1">TEXT(WEEKDAY(DATE(CalendarYear,2,1),1),"aaa")</f>
        <v>Sat</v>
      </c>
      <c r="D7" s="23" t="str">
        <f ca="1">TEXT(WEEKDAY(DATE(CalendarYear,2,2),1),"aaa")</f>
        <v>Sun</v>
      </c>
      <c r="E7" s="23" t="str">
        <f ca="1">TEXT(WEEKDAY(DATE(CalendarYear,2,3),1),"aaa")</f>
        <v>Mon</v>
      </c>
      <c r="F7" s="23" t="str">
        <f ca="1">TEXT(WEEKDAY(DATE(CalendarYear,2,4),1),"aaa")</f>
        <v>Tue</v>
      </c>
      <c r="G7" s="23" t="str">
        <f ca="1">TEXT(WEEKDAY(DATE(CalendarYear,2,5),1),"aaa")</f>
        <v>Wed</v>
      </c>
      <c r="H7" s="23" t="str">
        <f ca="1">TEXT(WEEKDAY(DATE(CalendarYear,2,6),1),"aaa")</f>
        <v>Thu</v>
      </c>
      <c r="I7" s="23" t="str">
        <f ca="1">TEXT(WEEKDAY(DATE(CalendarYear,2,7),1),"aaa")</f>
        <v>Fri</v>
      </c>
      <c r="J7" s="23" t="str">
        <f ca="1">TEXT(WEEKDAY(DATE(CalendarYear,2,8),1),"aaa")</f>
        <v>Sat</v>
      </c>
      <c r="K7" s="23" t="str">
        <f ca="1">TEXT(WEEKDAY(DATE(CalendarYear,2,9),1),"aaa")</f>
        <v>Sun</v>
      </c>
      <c r="L7" s="23" t="str">
        <f ca="1">TEXT(WEEKDAY(DATE(CalendarYear,2,10),1),"aaa")</f>
        <v>Mon</v>
      </c>
      <c r="M7" s="23" t="str">
        <f ca="1">TEXT(WEEKDAY(DATE(CalendarYear,2,11),1),"aaa")</f>
        <v>Tue</v>
      </c>
      <c r="N7" s="23" t="str">
        <f ca="1">TEXT(WEEKDAY(DATE(CalendarYear,2,12),1),"aaa")</f>
        <v>Wed</v>
      </c>
      <c r="O7" s="23" t="str">
        <f ca="1">TEXT(WEEKDAY(DATE(CalendarYear,2,13),1),"aaa")</f>
        <v>Thu</v>
      </c>
      <c r="P7" s="23" t="str">
        <f ca="1">TEXT(WEEKDAY(DATE(CalendarYear,2,14),1),"aaa")</f>
        <v>Fri</v>
      </c>
      <c r="Q7" s="23" t="str">
        <f ca="1">TEXT(WEEKDAY(DATE(CalendarYear,2,15),1),"aaa")</f>
        <v>Sat</v>
      </c>
      <c r="R7" s="23" t="str">
        <f ca="1">TEXT(WEEKDAY(DATE(CalendarYear,2,16),1),"aaa")</f>
        <v>Sun</v>
      </c>
      <c r="S7" s="23" t="str">
        <f ca="1">TEXT(WEEKDAY(DATE(CalendarYear,2,17),1),"aaa")</f>
        <v>Mon</v>
      </c>
      <c r="T7" s="23" t="str">
        <f ca="1">TEXT(WEEKDAY(DATE(CalendarYear,2,18),1),"aaa")</f>
        <v>Tue</v>
      </c>
      <c r="U7" s="23" t="str">
        <f ca="1">TEXT(WEEKDAY(DATE(CalendarYear,2,19),1),"aaa")</f>
        <v>Wed</v>
      </c>
      <c r="V7" s="23" t="str">
        <f ca="1">TEXT(WEEKDAY(DATE(CalendarYear,2,20),1),"aaa")</f>
        <v>Thu</v>
      </c>
      <c r="W7" s="23" t="str">
        <f ca="1">TEXT(WEEKDAY(DATE(CalendarYear,2,21),1),"aaa")</f>
        <v>Fri</v>
      </c>
      <c r="X7" s="23" t="str">
        <f ca="1">TEXT(WEEKDAY(DATE(CalendarYear,2,22),1),"aaa")</f>
        <v>Sat</v>
      </c>
      <c r="Y7" s="23" t="str">
        <f ca="1">TEXT(WEEKDAY(DATE(CalendarYear,2,23),1),"aaa")</f>
        <v>Sun</v>
      </c>
      <c r="Z7" s="23" t="str">
        <f ca="1">TEXT(WEEKDAY(DATE(CalendarYear,2,24),1),"aaa")</f>
        <v>Mon</v>
      </c>
      <c r="AA7" s="23" t="str">
        <f ca="1">TEXT(WEEKDAY(DATE(CalendarYear,2,25),1),"aaa")</f>
        <v>Tue</v>
      </c>
      <c r="AB7" s="23" t="str">
        <f ca="1">TEXT(WEEKDAY(DATE(CalendarYear,2,26),1),"aaa")</f>
        <v>Wed</v>
      </c>
      <c r="AC7" s="23" t="str">
        <f ca="1">TEXT(WEEKDAY(DATE(CalendarYear,2,27),1),"aaa")</f>
        <v>Thu</v>
      </c>
      <c r="AD7" s="23" t="str">
        <f ca="1">TEXT(WEEKDAY(DATE(CalendarYear,2,28),1),"aaa")</f>
        <v>Fri</v>
      </c>
      <c r="AE7" s="23" t="str">
        <f ca="1">TEXT(WEEKDAY(DATE(CalendarYear,2,29),1),"aaa")</f>
        <v>Sat</v>
      </c>
      <c r="AF7" s="23"/>
      <c r="AG7" s="23"/>
      <c r="AH7" s="7"/>
    </row>
    <row r="8" spans="1: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33</v>
      </c>
      <c r="AG8" s="1" t="s">
        <v>34</v>
      </c>
      <c r="AH8" s="24" t="s">
        <v>63</v>
      </c>
    </row>
    <row r="9" spans="1:34" ht="30" customHeight="1" x14ac:dyDescent="0.25">
      <c r="B9" s="2" t="s">
        <v>57</v>
      </c>
      <c r="C9" s="21"/>
      <c r="D9" s="21"/>
      <c r="E9" s="21" t="s">
        <v>32</v>
      </c>
      <c r="F9" s="21" t="s">
        <v>32</v>
      </c>
      <c r="G9" s="21" t="s">
        <v>32</v>
      </c>
      <c r="H9" s="21" t="s">
        <v>32</v>
      </c>
      <c r="I9" s="21"/>
      <c r="J9" s="21"/>
      <c r="K9" s="21"/>
      <c r="L9" s="21"/>
      <c r="M9" s="21"/>
      <c r="N9" s="21"/>
      <c r="O9" s="21" t="s">
        <v>32</v>
      </c>
      <c r="P9" s="21"/>
      <c r="Q9" s="21"/>
      <c r="R9" s="21"/>
      <c r="S9" s="21"/>
      <c r="T9" s="21"/>
      <c r="U9" s="21"/>
      <c r="V9" s="21"/>
      <c r="W9" s="21"/>
      <c r="X9" s="21"/>
      <c r="Y9" s="21"/>
      <c r="Z9" s="21"/>
      <c r="AA9" s="21"/>
      <c r="AB9" s="21"/>
      <c r="AC9" s="21"/>
      <c r="AD9" s="21"/>
      <c r="AE9" s="21"/>
      <c r="AF9" s="21"/>
      <c r="AG9" s="21"/>
      <c r="AH9" s="3">
        <f>COUNTA(February[[#This Row],[1]:[29]])</f>
        <v>5</v>
      </c>
    </row>
    <row r="10" spans="1:34" ht="30" customHeight="1" x14ac:dyDescent="0.25">
      <c r="B10" s="2" t="s">
        <v>58</v>
      </c>
      <c r="C10" s="21"/>
      <c r="D10" s="21"/>
      <c r="E10" s="21"/>
      <c r="F10" s="21"/>
      <c r="G10" s="21" t="s">
        <v>31</v>
      </c>
      <c r="H10" s="21" t="s">
        <v>31</v>
      </c>
      <c r="I10" s="21"/>
      <c r="J10" s="21"/>
      <c r="K10" s="21"/>
      <c r="L10" s="21"/>
      <c r="M10" s="21" t="s">
        <v>35</v>
      </c>
      <c r="N10" s="21"/>
      <c r="O10" s="21"/>
      <c r="P10" s="21"/>
      <c r="Q10" s="21"/>
      <c r="R10" s="21"/>
      <c r="S10" s="21"/>
      <c r="T10" s="21"/>
      <c r="U10" s="21"/>
      <c r="V10" s="21" t="s">
        <v>31</v>
      </c>
      <c r="W10" s="21"/>
      <c r="X10" s="21"/>
      <c r="Y10" s="21"/>
      <c r="Z10" s="21"/>
      <c r="AA10" s="21" t="s">
        <v>32</v>
      </c>
      <c r="AB10" s="21" t="s">
        <v>32</v>
      </c>
      <c r="AC10" s="21" t="s">
        <v>32</v>
      </c>
      <c r="AD10" s="21"/>
      <c r="AE10" s="21"/>
      <c r="AF10" s="21"/>
      <c r="AG10" s="21"/>
      <c r="AH10" s="3">
        <f>COUNTA(February[[#This Row],[1]:[29]])</f>
        <v>7</v>
      </c>
    </row>
    <row r="11" spans="1:34" ht="30" customHeight="1" x14ac:dyDescent="0.25">
      <c r="B11" s="2" t="s">
        <v>59</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3">
        <f>COUNTA(February[[#This Row],[1]:[29]])</f>
        <v>0</v>
      </c>
    </row>
    <row r="12" spans="1:34" ht="30" customHeight="1" x14ac:dyDescent="0.25">
      <c r="B12" s="2" t="s">
        <v>60</v>
      </c>
      <c r="C12" s="21"/>
      <c r="D12" s="21"/>
      <c r="E12" s="21" t="s">
        <v>31</v>
      </c>
      <c r="F12" s="21"/>
      <c r="G12" s="21"/>
      <c r="H12" s="21"/>
      <c r="I12" s="21"/>
      <c r="J12" s="21"/>
      <c r="K12" s="21"/>
      <c r="L12" s="21"/>
      <c r="M12" s="21"/>
      <c r="N12" s="21"/>
      <c r="O12" s="21"/>
      <c r="P12" s="21" t="s">
        <v>31</v>
      </c>
      <c r="Q12" s="21"/>
      <c r="R12" s="21"/>
      <c r="S12" s="21"/>
      <c r="T12" s="21" t="s">
        <v>35</v>
      </c>
      <c r="U12" s="21"/>
      <c r="V12" s="21"/>
      <c r="W12" s="21"/>
      <c r="X12" s="21"/>
      <c r="Y12" s="21"/>
      <c r="Z12" s="21"/>
      <c r="AA12" s="21"/>
      <c r="AB12" s="21"/>
      <c r="AC12" s="21"/>
      <c r="AD12" s="21" t="s">
        <v>31</v>
      </c>
      <c r="AE12" s="21"/>
      <c r="AF12" s="21"/>
      <c r="AG12" s="21"/>
      <c r="AH12" s="3">
        <f>COUNTA(February[[#This Row],[1]:[29]])</f>
        <v>4</v>
      </c>
    </row>
    <row r="13" spans="1:34" ht="30" customHeight="1" x14ac:dyDescent="0.25">
      <c r="B13" s="2" t="s">
        <v>61</v>
      </c>
      <c r="C13" s="21"/>
      <c r="D13" s="21"/>
      <c r="E13" s="21"/>
      <c r="F13" s="21"/>
      <c r="G13" s="21"/>
      <c r="H13" s="21"/>
      <c r="I13" s="21"/>
      <c r="J13" s="21" t="s">
        <v>32</v>
      </c>
      <c r="K13" s="21" t="s">
        <v>32</v>
      </c>
      <c r="L13" s="21" t="s">
        <v>32</v>
      </c>
      <c r="M13" s="21" t="s">
        <v>32</v>
      </c>
      <c r="N13" s="21"/>
      <c r="O13" s="21"/>
      <c r="P13" s="21"/>
      <c r="Q13" s="21"/>
      <c r="R13" s="21"/>
      <c r="S13" s="21"/>
      <c r="T13" s="21"/>
      <c r="U13" s="21"/>
      <c r="V13" s="21"/>
      <c r="W13" s="21"/>
      <c r="X13" s="21"/>
      <c r="Y13" s="21"/>
      <c r="Z13" s="21" t="s">
        <v>31</v>
      </c>
      <c r="AA13" s="21"/>
      <c r="AB13" s="21"/>
      <c r="AC13" s="21"/>
      <c r="AD13" s="21"/>
      <c r="AE13" s="21"/>
      <c r="AF13" s="21"/>
      <c r="AG13" s="21"/>
      <c r="AH13" s="3">
        <f>COUNTA(February[[#This Row],[1]:[29]])</f>
        <v>5</v>
      </c>
    </row>
    <row r="14" spans="1:34" ht="30" customHeight="1" x14ac:dyDescent="0.25">
      <c r="B14" s="5" t="str">
        <f>MonthName&amp;" total"</f>
        <v>February total</v>
      </c>
      <c r="C14" s="4">
        <f>SUBTOTAL(103,February[1])</f>
        <v>0</v>
      </c>
      <c r="D14" s="4">
        <f>SUBTOTAL(103,February[2])</f>
        <v>0</v>
      </c>
      <c r="E14" s="4">
        <f>SUBTOTAL(103,February[3])</f>
        <v>2</v>
      </c>
      <c r="F14" s="4">
        <f>SUBTOTAL(103,February[4])</f>
        <v>1</v>
      </c>
      <c r="G14" s="4">
        <f>SUBTOTAL(103,February[5])</f>
        <v>2</v>
      </c>
      <c r="H14" s="4">
        <f>SUBTOTAL(103,February[6])</f>
        <v>2</v>
      </c>
      <c r="I14" s="4">
        <f>SUBTOTAL(103,February[7])</f>
        <v>0</v>
      </c>
      <c r="J14" s="4">
        <f>SUBTOTAL(103,February[8])</f>
        <v>1</v>
      </c>
      <c r="K14" s="4">
        <f>SUBTOTAL(103,February[9])</f>
        <v>1</v>
      </c>
      <c r="L14" s="4">
        <f>SUBTOTAL(103,February[10])</f>
        <v>1</v>
      </c>
      <c r="M14" s="4">
        <f>SUBTOTAL(103,February[11])</f>
        <v>2</v>
      </c>
      <c r="N14" s="4">
        <f>SUBTOTAL(103,February[12])</f>
        <v>0</v>
      </c>
      <c r="O14" s="4">
        <f>SUBTOTAL(103,February[13])</f>
        <v>1</v>
      </c>
      <c r="P14" s="4">
        <f>SUBTOTAL(103,February[14])</f>
        <v>1</v>
      </c>
      <c r="Q14" s="4">
        <f>SUBTOTAL(103,February[15])</f>
        <v>0</v>
      </c>
      <c r="R14" s="4">
        <f>SUBTOTAL(103,February[16])</f>
        <v>0</v>
      </c>
      <c r="S14" s="4">
        <f>SUBTOTAL(103,February[17])</f>
        <v>0</v>
      </c>
      <c r="T14" s="4">
        <f>SUBTOTAL(103,February[18])</f>
        <v>1</v>
      </c>
      <c r="U14" s="4">
        <f>SUBTOTAL(103,February[19])</f>
        <v>0</v>
      </c>
      <c r="V14" s="4">
        <f>SUBTOTAL(103,February[20])</f>
        <v>1</v>
      </c>
      <c r="W14" s="4">
        <f>SUBTOTAL(103,February[21])</f>
        <v>0</v>
      </c>
      <c r="X14" s="4">
        <f>SUBTOTAL(103,February[22])</f>
        <v>0</v>
      </c>
      <c r="Y14" s="4">
        <f>SUBTOTAL(103,February[23])</f>
        <v>0</v>
      </c>
      <c r="Z14" s="4">
        <f>SUBTOTAL(103,February[24])</f>
        <v>1</v>
      </c>
      <c r="AA14" s="4">
        <f>SUBTOTAL(103,February[25])</f>
        <v>1</v>
      </c>
      <c r="AB14" s="4">
        <f>SUBTOTAL(103,February[26])</f>
        <v>1</v>
      </c>
      <c r="AC14" s="4">
        <f>SUBTOTAL(103,February[27])</f>
        <v>1</v>
      </c>
      <c r="AD14" s="4">
        <f>SUBTOTAL(103,February[28])</f>
        <v>1</v>
      </c>
      <c r="AE14" s="4">
        <f>SUBTOTAL(103,February[29])</f>
        <v>0</v>
      </c>
      <c r="AF14" s="4"/>
      <c r="AG14" s="4"/>
      <c r="AH14" s="4">
        <f>SUBTOTAL(109,February[Total days])</f>
        <v>21</v>
      </c>
    </row>
  </sheetData>
  <mergeCells count="6">
    <mergeCell ref="C6:AG6"/>
    <mergeCell ref="D4:F4"/>
    <mergeCell ref="H4:J4"/>
    <mergeCell ref="L4:M4"/>
    <mergeCell ref="O4:Q4"/>
    <mergeCell ref="S4:U4"/>
  </mergeCells>
  <conditionalFormatting sqref="C9:AG13">
    <cfRule type="expression" priority="3" stopIfTrue="1">
      <formula>C9=""</formula>
    </cfRule>
    <cfRule type="expression" dxfId="815" priority="4" stopIfTrue="1">
      <formula>C9=KeyCustom2</formula>
    </cfRule>
    <cfRule type="expression" dxfId="814" priority="6" stopIfTrue="1">
      <formula>C9=KeyCustom1</formula>
    </cfRule>
    <cfRule type="expression" dxfId="813" priority="7" stopIfTrue="1">
      <formula>C9=KeySick</formula>
    </cfRule>
    <cfRule type="expression" dxfId="812" priority="8" stopIfTrue="1">
      <formula>C9=KeyPersonal</formula>
    </cfRule>
    <cfRule type="expression" dxfId="811" priority="9" stopIfTrue="1">
      <formula>C9=KeyVacation</formula>
    </cfRule>
  </conditionalFormatting>
  <conditionalFormatting sqref="AE7">
    <cfRule type="expression" dxfId="810" priority="1">
      <formula>MONTH(DATE(CalendarYear,2,29))&lt;&gt;2</formula>
    </cfRule>
  </conditionalFormatting>
  <conditionalFormatting sqref="AE8">
    <cfRule type="expression" dxfId="809" priority="17">
      <formula>MONTH(DATE(CalendarYear,2,29))&lt;&gt;2</formula>
    </cfRule>
  </conditionalFormatting>
  <conditionalFormatting sqref="AH9:AH13">
    <cfRule type="dataBar" priority="154">
      <dataBar>
        <cfvo type="min"/>
        <cfvo type="formula" val="DATEDIF(DATE(CalendarYear,2,1),DATE(CalendarYear,3,1),&quot;d&quot;)"/>
        <color theme="4"/>
      </dataBar>
      <extLst>
        <ext xmlns:x14="http://schemas.microsoft.com/office/spreadsheetml/2009/9/main" uri="{B025F937-C7B1-47D3-B67F-A62EFF666E3E}">
          <x14:id>{94738C71-AB78-40C3-A818-D083AE35CC38}</x14:id>
        </ext>
      </extLst>
    </cfRule>
  </conditionalFormatting>
  <dataValidations xWindow="232" yWindow="365" count="15">
    <dataValidation allowBlank="1" showInputMessage="1" showErrorMessage="1" prompt="Automatically updated year based on year entered in January worksheet" sqref="AH6" xr:uid="{00000000-0002-0000-0100-000000000000}"/>
    <dataValidation allowBlank="1" showInputMessage="1" showErrorMessage="1" prompt="Track February absence in this worksheet" sqref="A1" xr:uid="{00000000-0002-0000-0100-000001000000}"/>
    <dataValidation allowBlank="1" showInputMessage="1" showErrorMessage="1" prompt="Automatically calculates total number of days an employee was absent this month in this column" sqref="AH8" xr:uid="{77246999-1DD3-7143-AA66-1A208D7E07C6}"/>
    <dataValidation allowBlank="1" showInputMessage="1" showErrorMessage="1" prompt="Automatically updated title is in this cell. To modify the title, update B1 on January worksheet" sqref="B2" xr:uid="{00000000-0002-0000-0100-000003000000}"/>
    <dataValidation allowBlank="1" showInputMessage="1" showErrorMessage="1" prompt="Month name for this absence schedule is in this cell. Absence totals for this month are in last cell of the table. Select employee names in table column B" sqref="B2" xr:uid="{00000000-0002-0000-0100-000004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63261372-7DCA-F84F-9EF6-13D18C8D58CC}"/>
    <dataValidation allowBlank="1" showInputMessage="1" showErrorMessage="1" prompt="Enter a label to describe the custom key at left" sqref="O4:Q4 S4:U4" xr:uid="{00000000-0002-0000-0100-000007000000}"/>
    <dataValidation allowBlank="1" showInputMessage="1" showErrorMessage="1" prompt="Enter a letter and customize the label at right to add another key item" sqref="N4 R4" xr:uid="{00000000-0002-0000-0100-000008000000}"/>
    <dataValidation allowBlank="1" showInputMessage="1" showErrorMessage="1" prompt="The letter &quot;S&quot; indicates absence due to illness" sqref="K4" xr:uid="{00000000-0002-0000-0100-000009000000}"/>
    <dataValidation allowBlank="1" showInputMessage="1" showErrorMessage="1" prompt="The letter &quot;P&quot; indicates absence due to personal reasons" sqref="G4" xr:uid="{00000000-0002-0000-0100-00000A000000}"/>
    <dataValidation allowBlank="1" showInputMessage="1" showErrorMessage="1" prompt="The letter &quot;V&quot; indicates absence due to vacation" sqref="C4" xr:uid="{00000000-0002-0000-0100-00000B000000}"/>
    <dataValidation allowBlank="1" showInputMessage="1" showErrorMessage="1" prompt="Days of the month in this row are automatically generated. Enter an employee's absence and absence type in each column for each day of the month. Blank means no absence" sqref="C8" xr:uid="{00000000-0002-0000-0100-00000D000000}"/>
    <dataValidation allowBlank="1" showInputMessage="1" showErrorMessage="1" prompt="Weekdays in this row are automatically updated for the month according to the year in AH4. Each day of the month is a column to note an employee's absence and absence type" sqref="C7" xr:uid="{525721C9-B345-0C4C-8302-350AF692807F}"/>
    <dataValidation allowBlank="1" showInputMessage="1" showErrorMessage="1" prompt="This row defines the keys used in the table: cell C4 is Vacation, G4 is Personal, &amp; K4 is Sick leave. Cells N4 &amp; R4 are customizable " sqref="B4" xr:uid="{7C2F778E-AA90-4389-BE25-016652C40577}"/>
    <dataValidation allowBlank="1" showInputMessage="1" showErrorMessage="1" prompt="Title of the worksheet is in this cell. " sqref="B1" xr:uid="{3720AAC7-6CB9-46B3-ABB5-C56FB01AC59F}"/>
  </dataValidations>
  <printOptions horizontalCentered="1"/>
  <pageMargins left="0.25" right="0.25" top="0.75" bottom="0.75" header="0.3" footer="0.3"/>
  <pageSetup scale="70"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4738C71-AB78-40C3-A818-D083AE35CC38}">
            <x14:dataBar minLength="0" maxLength="100" gradient="0">
              <x14:cfvo type="autoMin"/>
              <x14:cfvo type="formula">
                <xm:f>DATEDIF(DATE(CalendarYear,2,1),DATE(CalendarYear,3,1),"d")</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xWindow="232" yWindow="365" count="1">
        <x14:dataValidation type="list" allowBlank="1" showInputMessage="1" showErrorMessage="1" xr:uid="{00000000-0002-0000-0100-00000E000000}">
          <x14:formula1>
            <xm:f>'Employee names'!$B$4:$B$8</xm:f>
          </x14:formula1>
          <xm:sqref>B9:B13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pageSetUpPr fitToPage="1"/>
  </sheetPr>
  <dimension ref="B1:AH14"/>
  <sheetViews>
    <sheetView showGridLines="0" zoomScaleNormal="100" workbookViewId="0">
      <selection activeCell="B2" sqref="B2"/>
    </sheetView>
  </sheetViews>
  <sheetFormatPr defaultColWidth="8.710937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2:34" ht="49.9" customHeight="1" x14ac:dyDescent="0.35">
      <c r="B1" s="25" t="s">
        <v>54</v>
      </c>
    </row>
    <row r="2" spans="2:34" ht="100.15" customHeight="1" x14ac:dyDescent="0.25">
      <c r="B2" s="40" t="s">
        <v>43</v>
      </c>
    </row>
    <row r="3" spans="2:34" ht="1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2: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2:34" ht="15" customHeight="1"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CalendarYear</f>
        <v>2025</v>
      </c>
    </row>
    <row r="7" spans="2:34" ht="30" customHeight="1" x14ac:dyDescent="0.25">
      <c r="B7" s="7"/>
      <c r="C7" s="23" t="str">
        <f ca="1">TEXT(WEEKDAY(DATE(CalendarYear,3,1),1),"aaa")</f>
        <v>Sat</v>
      </c>
      <c r="D7" s="23" t="str">
        <f ca="1">TEXT(WEEKDAY(DATE(CalendarYear,3,2),1),"aaa")</f>
        <v>Sun</v>
      </c>
      <c r="E7" s="23" t="str">
        <f ca="1">TEXT(WEEKDAY(DATE(CalendarYear,3,3),1),"aaa")</f>
        <v>Mon</v>
      </c>
      <c r="F7" s="23" t="str">
        <f ca="1">TEXT(WEEKDAY(DATE(CalendarYear,3,4),1),"aaa")</f>
        <v>Tue</v>
      </c>
      <c r="G7" s="23" t="str">
        <f ca="1">TEXT(WEEKDAY(DATE(CalendarYear,3,5),1),"aaa")</f>
        <v>Wed</v>
      </c>
      <c r="H7" s="23" t="str">
        <f ca="1">TEXT(WEEKDAY(DATE(CalendarYear,3,6),1),"aaa")</f>
        <v>Thu</v>
      </c>
      <c r="I7" s="23" t="str">
        <f ca="1">TEXT(WEEKDAY(DATE(CalendarYear,3,7),1),"aaa")</f>
        <v>Fri</v>
      </c>
      <c r="J7" s="23" t="str">
        <f ca="1">TEXT(WEEKDAY(DATE(CalendarYear,3,8),1),"aaa")</f>
        <v>Sat</v>
      </c>
      <c r="K7" s="23" t="str">
        <f ca="1">TEXT(WEEKDAY(DATE(CalendarYear,3,9),1),"aaa")</f>
        <v>Sun</v>
      </c>
      <c r="L7" s="23" t="str">
        <f ca="1">TEXT(WEEKDAY(DATE(CalendarYear,3,10),1),"aaa")</f>
        <v>Mon</v>
      </c>
      <c r="M7" s="23" t="str">
        <f ca="1">TEXT(WEEKDAY(DATE(CalendarYear,3,11),1),"aaa")</f>
        <v>Tue</v>
      </c>
      <c r="N7" s="23" t="str">
        <f ca="1">TEXT(WEEKDAY(DATE(CalendarYear,3,12),1),"aaa")</f>
        <v>Wed</v>
      </c>
      <c r="O7" s="23" t="str">
        <f ca="1">TEXT(WEEKDAY(DATE(CalendarYear,3,13),1),"aaa")</f>
        <v>Thu</v>
      </c>
      <c r="P7" s="23" t="str">
        <f ca="1">TEXT(WEEKDAY(DATE(CalendarYear,3,14),1),"aaa")</f>
        <v>Fri</v>
      </c>
      <c r="Q7" s="23" t="str">
        <f ca="1">TEXT(WEEKDAY(DATE(CalendarYear,3,15),1),"aaa")</f>
        <v>Sat</v>
      </c>
      <c r="R7" s="23" t="str">
        <f ca="1">TEXT(WEEKDAY(DATE(CalendarYear,3,16),1),"aaa")</f>
        <v>Sun</v>
      </c>
      <c r="S7" s="23" t="str">
        <f ca="1">TEXT(WEEKDAY(DATE(CalendarYear,3,17),1),"aaa")</f>
        <v>Mon</v>
      </c>
      <c r="T7" s="23" t="str">
        <f ca="1">TEXT(WEEKDAY(DATE(CalendarYear,3,18),1),"aaa")</f>
        <v>Tue</v>
      </c>
      <c r="U7" s="23" t="str">
        <f ca="1">TEXT(WEEKDAY(DATE(CalendarYear,3,19),1),"aaa")</f>
        <v>Wed</v>
      </c>
      <c r="V7" s="23" t="str">
        <f ca="1">TEXT(WEEKDAY(DATE(CalendarYear,3,20),1),"aaa")</f>
        <v>Thu</v>
      </c>
      <c r="W7" s="23" t="str">
        <f ca="1">TEXT(WEEKDAY(DATE(CalendarYear,3,21),1),"aaa")</f>
        <v>Fri</v>
      </c>
      <c r="X7" s="23" t="str">
        <f ca="1">TEXT(WEEKDAY(DATE(CalendarYear,3,22),1),"aaa")</f>
        <v>Sat</v>
      </c>
      <c r="Y7" s="23" t="str">
        <f ca="1">TEXT(WEEKDAY(DATE(CalendarYear,3,23),1),"aaa")</f>
        <v>Sun</v>
      </c>
      <c r="Z7" s="23" t="str">
        <f ca="1">TEXT(WEEKDAY(DATE(CalendarYear,3,24),1),"aaa")</f>
        <v>Mon</v>
      </c>
      <c r="AA7" s="23" t="str">
        <f ca="1">TEXT(WEEKDAY(DATE(CalendarYear,3,25),1),"aaa")</f>
        <v>Tue</v>
      </c>
      <c r="AB7" s="23" t="str">
        <f ca="1">TEXT(WEEKDAY(DATE(CalendarYear,3,26),1),"aaa")</f>
        <v>Wed</v>
      </c>
      <c r="AC7" s="23" t="str">
        <f ca="1">TEXT(WEEKDAY(DATE(CalendarYear,3,27),1),"aaa")</f>
        <v>Thu</v>
      </c>
      <c r="AD7" s="23" t="str">
        <f ca="1">TEXT(WEEKDAY(DATE(CalendarYear,3,28),1),"aaa")</f>
        <v>Fri</v>
      </c>
      <c r="AE7" s="23" t="str">
        <f ca="1">TEXT(WEEKDAY(DATE(CalendarYear,3,29),1),"aaa")</f>
        <v>Sat</v>
      </c>
      <c r="AF7" s="23" t="str">
        <f ca="1">TEXT(WEEKDAY(DATE(CalendarYear,3,30),1),"aaa")</f>
        <v>Sun</v>
      </c>
      <c r="AG7" s="23" t="str">
        <f ca="1">TEXT(WEEKDAY(DATE(CalendarYear,3,31),1),"aaa")</f>
        <v>Mon</v>
      </c>
      <c r="AH7" s="7"/>
    </row>
    <row r="8" spans="2: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24" t="s">
        <v>63</v>
      </c>
    </row>
    <row r="9" spans="2:34" ht="30" customHeight="1" x14ac:dyDescent="0.25">
      <c r="B9" s="2" t="s">
        <v>57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3">
        <f>COUNTA(March[[#This Row],[1]:[31]])</f>
        <v>0</v>
      </c>
    </row>
    <row r="10" spans="2:34" ht="30" customHeight="1" x14ac:dyDescent="0.25">
      <c r="B10" s="2" t="s">
        <v>58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COUNTA(March[[#This Row],[1]:[31]])</f>
        <v>0</v>
      </c>
    </row>
    <row r="11" spans="2:34" ht="30" customHeight="1" x14ac:dyDescent="0.25">
      <c r="B11" s="2" t="s">
        <v>59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3">
        <f>COUNTA(March[[#This Row],[1]:[31]])</f>
        <v>0</v>
      </c>
    </row>
    <row r="12" spans="2:34" ht="30" customHeight="1" x14ac:dyDescent="0.25">
      <c r="B12" s="2" t="s">
        <v>60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COUNTA(March[[#This Row],[1]:[31]])</f>
        <v>0</v>
      </c>
    </row>
    <row r="13" spans="2:34" ht="30" customHeight="1" x14ac:dyDescent="0.25">
      <c r="B13" s="2" t="s">
        <v>61</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3">
        <f>COUNTA(March[[#This Row],[1]:[31]])</f>
        <v>0</v>
      </c>
    </row>
    <row r="14" spans="2:34" ht="30" customHeight="1" x14ac:dyDescent="0.25">
      <c r="B14" s="5" t="str">
        <f>MonthName&amp;" Total"</f>
        <v>March Total</v>
      </c>
      <c r="C14" s="4">
        <f>SUBTOTAL(103,March[1])</f>
        <v>0</v>
      </c>
      <c r="D14" s="4">
        <f>SUBTOTAL(103,March[2])</f>
        <v>0</v>
      </c>
      <c r="E14" s="4">
        <f>SUBTOTAL(103,March[3])</f>
        <v>0</v>
      </c>
      <c r="F14" s="4">
        <f>SUBTOTAL(103,March[4])</f>
        <v>0</v>
      </c>
      <c r="G14" s="4">
        <f>SUBTOTAL(103,March[5])</f>
        <v>0</v>
      </c>
      <c r="H14" s="4">
        <f>SUBTOTAL(103,March[6])</f>
        <v>0</v>
      </c>
      <c r="I14" s="4">
        <f>SUBTOTAL(103,March[7])</f>
        <v>0</v>
      </c>
      <c r="J14" s="4">
        <f>SUBTOTAL(103,March[8])</f>
        <v>0</v>
      </c>
      <c r="K14" s="4">
        <f>SUBTOTAL(103,March[9])</f>
        <v>0</v>
      </c>
      <c r="L14" s="4">
        <f>SUBTOTAL(103,March[10])</f>
        <v>0</v>
      </c>
      <c r="M14" s="4">
        <f>SUBTOTAL(103,March[11])</f>
        <v>0</v>
      </c>
      <c r="N14" s="4">
        <f>SUBTOTAL(103,March[12])</f>
        <v>0</v>
      </c>
      <c r="O14" s="4">
        <f>SUBTOTAL(103,March[13])</f>
        <v>0</v>
      </c>
      <c r="P14" s="4">
        <f>SUBTOTAL(103,March[14])</f>
        <v>0</v>
      </c>
      <c r="Q14" s="4">
        <f>SUBTOTAL(103,March[15])</f>
        <v>0</v>
      </c>
      <c r="R14" s="4">
        <f>SUBTOTAL(103,March[16])</f>
        <v>0</v>
      </c>
      <c r="S14" s="4">
        <f>SUBTOTAL(103,March[17])</f>
        <v>0</v>
      </c>
      <c r="T14" s="4">
        <f>SUBTOTAL(103,March[18])</f>
        <v>0</v>
      </c>
      <c r="U14" s="4">
        <f>SUBTOTAL(103,March[19])</f>
        <v>0</v>
      </c>
      <c r="V14" s="4">
        <f>SUBTOTAL(103,March[20])</f>
        <v>0</v>
      </c>
      <c r="W14" s="4">
        <f>SUBTOTAL(103,March[21])</f>
        <v>0</v>
      </c>
      <c r="X14" s="4">
        <f>SUBTOTAL(103,March[22])</f>
        <v>0</v>
      </c>
      <c r="Y14" s="4">
        <f>SUBTOTAL(103,March[23])</f>
        <v>0</v>
      </c>
      <c r="Z14" s="4">
        <f>SUBTOTAL(103,March[24])</f>
        <v>0</v>
      </c>
      <c r="AA14" s="4">
        <f>SUBTOTAL(103,March[25])</f>
        <v>0</v>
      </c>
      <c r="AB14" s="4">
        <f>SUBTOTAL(103,March[26])</f>
        <v>0</v>
      </c>
      <c r="AC14" s="4">
        <f>SUBTOTAL(103,March[27])</f>
        <v>0</v>
      </c>
      <c r="AD14" s="4">
        <f>SUBTOTAL(103,March[28])</f>
        <v>0</v>
      </c>
      <c r="AE14" s="4">
        <f>SUBTOTAL(103,March[29])</f>
        <v>0</v>
      </c>
      <c r="AF14" s="4">
        <f>SUBTOTAL(109,March[30])</f>
        <v>0</v>
      </c>
      <c r="AG14" s="4">
        <f>SUBTOTAL(109,March[31])</f>
        <v>0</v>
      </c>
      <c r="AH14" s="4">
        <f>SUBTOTAL(109,March[Total days])</f>
        <v>0</v>
      </c>
    </row>
  </sheetData>
  <mergeCells count="6">
    <mergeCell ref="C6:AG6"/>
    <mergeCell ref="D4:F4"/>
    <mergeCell ref="H4:J4"/>
    <mergeCell ref="L4:M4"/>
    <mergeCell ref="O4:Q4"/>
    <mergeCell ref="S4:U4"/>
  </mergeCells>
  <conditionalFormatting sqref="C9:AG13">
    <cfRule type="expression" priority="1" stopIfTrue="1">
      <formula>C9=""</formula>
    </cfRule>
    <cfRule type="expression" dxfId="739" priority="2" stopIfTrue="1">
      <formula>C9=KeyCustom2</formula>
    </cfRule>
    <cfRule type="expression" dxfId="738" priority="3" stopIfTrue="1">
      <formula>C9=KeyCustom1</formula>
    </cfRule>
    <cfRule type="expression" dxfId="737" priority="4" stopIfTrue="1">
      <formula>C9=KeySick</formula>
    </cfRule>
    <cfRule type="expression" dxfId="736" priority="5" stopIfTrue="1">
      <formula>C9=KeyPersonal</formula>
    </cfRule>
    <cfRule type="expression" dxfId="735" priority="6" stopIfTrue="1">
      <formula>C9=KeyVacation</formula>
    </cfRule>
  </conditionalFormatting>
  <conditionalFormatting sqref="AH9:AH13">
    <cfRule type="dataBar" priority="7">
      <dataBar>
        <cfvo type="min"/>
        <cfvo type="formula" val="DATEDIF(DATE(CalendarYear,2,1),DATE(CalendarYear,3,1),&quot;d&quot;)"/>
        <color theme="2" tint="-0.249977111117893"/>
      </dataBar>
      <extLst>
        <ext xmlns:x14="http://schemas.microsoft.com/office/spreadsheetml/2009/9/main" uri="{B025F937-C7B1-47D3-B67F-A62EFF666E3E}">
          <x14:id>{7C2B6C3E-666E-4369-8C57-FD32A7D03A3C}</x14:id>
        </ext>
      </extLst>
    </cfRule>
  </conditionalFormatting>
  <dataValidations count="15">
    <dataValidation allowBlank="1" showInputMessage="1" showErrorMessage="1" prompt="Days of the month in this row are automatically generated. Enter an employee's absence and absence type in each column for each day of the month. Blank means no absence" sqref="C8" xr:uid="{00000000-0002-0000-0200-000000000000}"/>
    <dataValidation allowBlank="1" showInputMessage="1" showErrorMessage="1" prompt="Enter a label to describe the custom key at left" sqref="O4:Q4 S4:U4" xr:uid="{E366FBFA-347E-8543-BF03-F13C8B9DCA49}"/>
    <dataValidation allowBlank="1" showInputMessage="1" showErrorMessage="1" prompt="Enter a letter and customize the label at right to add another key item" sqref="N4 R4" xr:uid="{8C7F6C70-699C-2D4E-95B7-BEEF00444CC1}"/>
    <dataValidation allowBlank="1" showInputMessage="1" showErrorMessage="1" prompt="The letter &quot;S&quot; indicates absence due to illness" sqref="K4" xr:uid="{299D83F3-6B77-0849-9674-CBC3EF3148C0}"/>
    <dataValidation allowBlank="1" showInputMessage="1" showErrorMessage="1" prompt="The letter &quot;P&quot; indicates absence due to personal reasons" sqref="G4" xr:uid="{D96709FA-C89E-174E-BD1B-910451DEBE05}"/>
    <dataValidation allowBlank="1" showInputMessage="1" showErrorMessage="1" prompt="The letter &quot;V&quot; indicates absence due to vacation" sqref="C4" xr:uid="{29AC19CC-7211-AC4C-934C-F8A72FBB8569}"/>
    <dataValidation allowBlank="1" showInputMessage="1" showErrorMessage="1" prompt="Automatically updated title is in this cell. To modify the title, update B1 on January worksheet" sqref="B2" xr:uid="{00000000-0002-0000-0200-000009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E46101B5-4A18-414B-9169-B2F7AB28F054}"/>
    <dataValidation allowBlank="1" showInputMessage="1" showErrorMessage="1" prompt="Track March absence in this worksheet" sqref="A1" xr:uid="{00000000-0002-0000-0200-00000B000000}"/>
    <dataValidation allowBlank="1" showInputMessage="1" showErrorMessage="1" prompt="Automatically calculates total number of days an employee was absent this month in this column" sqref="AH8" xr:uid="{70BD9EEE-E1FD-D147-919D-901970D7AADE}"/>
    <dataValidation allowBlank="1" showInputMessage="1" showErrorMessage="1" prompt="Automatically updated year based on year entered in January worksheet" sqref="AH6" xr:uid="{A06F72EE-346E-CD4A-B706-B1500A526D8A}"/>
    <dataValidation allowBlank="1" showInputMessage="1" showErrorMessage="1" prompt="Weekdays in this row are automatically updated for the month according to the year in AH4. Each day of the month is a column to note an employee's absence and absence type" sqref="C7" xr:uid="{02C7B989-E77F-4A4F-82FD-F03860560B2B}"/>
    <dataValidation allowBlank="1" showInputMessage="1" showErrorMessage="1" prompt="Month name for this absence schedule is in this cell. Absence totals for this month are in last cell of the table. Select employee names in table column B" sqref="B2" xr:uid="{00000000-0002-0000-0200-000002000000}"/>
    <dataValidation allowBlank="1" showInputMessage="1" showErrorMessage="1" prompt="This row defines the keys used in the table: cell C4 is Vacation, G4 is Personal, &amp; K4 is Sick leave. Cells N4 &amp; R4 are customizable " sqref="B4" xr:uid="{9A98B74B-4764-403E-92AD-9C10299A10A6}"/>
    <dataValidation allowBlank="1" showInputMessage="1" showErrorMessage="1" prompt="Title of the worksheet is in this cell. " sqref="B1" xr:uid="{40DFEC58-0648-4944-BD5A-E9153E7FE7CF}"/>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7C2B6C3E-666E-4369-8C57-FD32A7D03A3C}">
            <x14:dataBar minLength="0" maxLength="100">
              <x14:cfvo type="autoMin"/>
              <x14:cfvo type="formula">
                <xm:f>DATEDIF(DATE(CalendarYear,2,1),DATE(CalendarYear,3,1),"d")</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E000000}">
          <x14:formula1>
            <xm:f>'Employee names'!$B$4:$B$8</xm:f>
          </x14:formula1>
          <xm:sqref>B9:B13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AH14"/>
  <sheetViews>
    <sheetView showGridLines="0" zoomScaleNormal="100" workbookViewId="0">
      <selection activeCell="B2" sqref="B2"/>
    </sheetView>
  </sheetViews>
  <sheetFormatPr defaultColWidth="8.710937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2:34" ht="49.9" customHeight="1" x14ac:dyDescent="0.35">
      <c r="B1" s="25" t="s">
        <v>54</v>
      </c>
    </row>
    <row r="2" spans="2:34" ht="100.15" customHeight="1" x14ac:dyDescent="0.25">
      <c r="B2" s="39" t="s">
        <v>44</v>
      </c>
    </row>
    <row r="3" spans="2:34" ht="1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2: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2:34" ht="15" customHeight="1"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CalendarYear</f>
        <v>2025</v>
      </c>
    </row>
    <row r="7" spans="2:34" ht="30" customHeight="1" x14ac:dyDescent="0.25">
      <c r="B7" s="7"/>
      <c r="C7" s="23" t="str">
        <f ca="1">TEXT(WEEKDAY(DATE(CalendarYear,4,1),1),"aaa")</f>
        <v>Tue</v>
      </c>
      <c r="D7" s="23" t="str">
        <f ca="1">TEXT(WEEKDAY(DATE(CalendarYear,4,2),1),"aaa")</f>
        <v>Wed</v>
      </c>
      <c r="E7" s="23" t="str">
        <f ca="1">TEXT(WEEKDAY(DATE(CalendarYear,4,3),1),"aaa")</f>
        <v>Thu</v>
      </c>
      <c r="F7" s="23" t="str">
        <f ca="1">TEXT(WEEKDAY(DATE(CalendarYear,4,4),1),"aaa")</f>
        <v>Fri</v>
      </c>
      <c r="G7" s="23" t="str">
        <f ca="1">TEXT(WEEKDAY(DATE(CalendarYear,4,5),1),"aaa")</f>
        <v>Sat</v>
      </c>
      <c r="H7" s="23" t="str">
        <f ca="1">TEXT(WEEKDAY(DATE(CalendarYear,4,6),1),"aaa")</f>
        <v>Sun</v>
      </c>
      <c r="I7" s="23" t="str">
        <f ca="1">TEXT(WEEKDAY(DATE(CalendarYear,4,7),1),"aaa")</f>
        <v>Mon</v>
      </c>
      <c r="J7" s="23" t="str">
        <f ca="1">TEXT(WEEKDAY(DATE(CalendarYear,4,8),1),"aaa")</f>
        <v>Tue</v>
      </c>
      <c r="K7" s="23" t="str">
        <f ca="1">TEXT(WEEKDAY(DATE(CalendarYear,4,9),1),"aaa")</f>
        <v>Wed</v>
      </c>
      <c r="L7" s="23" t="str">
        <f ca="1">TEXT(WEEKDAY(DATE(CalendarYear,4,10),1),"aaa")</f>
        <v>Thu</v>
      </c>
      <c r="M7" s="23" t="str">
        <f ca="1">TEXT(WEEKDAY(DATE(CalendarYear,4,11),1),"aaa")</f>
        <v>Fri</v>
      </c>
      <c r="N7" s="23" t="str">
        <f ca="1">TEXT(WEEKDAY(DATE(CalendarYear,4,12),1),"aaa")</f>
        <v>Sat</v>
      </c>
      <c r="O7" s="23" t="str">
        <f ca="1">TEXT(WEEKDAY(DATE(CalendarYear,4,13),1),"aaa")</f>
        <v>Sun</v>
      </c>
      <c r="P7" s="23" t="str">
        <f ca="1">TEXT(WEEKDAY(DATE(CalendarYear,4,14),1),"aaa")</f>
        <v>Mon</v>
      </c>
      <c r="Q7" s="23" t="str">
        <f ca="1">TEXT(WEEKDAY(DATE(CalendarYear,4,15),1),"aaa")</f>
        <v>Tue</v>
      </c>
      <c r="R7" s="23" t="str">
        <f ca="1">TEXT(WEEKDAY(DATE(CalendarYear,4,16),1),"aaa")</f>
        <v>Wed</v>
      </c>
      <c r="S7" s="23" t="str">
        <f ca="1">TEXT(WEEKDAY(DATE(CalendarYear,4,17),1),"aaa")</f>
        <v>Thu</v>
      </c>
      <c r="T7" s="23" t="str">
        <f ca="1">TEXT(WEEKDAY(DATE(CalendarYear,4,18),1),"aaa")</f>
        <v>Fri</v>
      </c>
      <c r="U7" s="23" t="str">
        <f ca="1">TEXT(WEEKDAY(DATE(CalendarYear,4,19),1),"aaa")</f>
        <v>Sat</v>
      </c>
      <c r="V7" s="23" t="str">
        <f ca="1">TEXT(WEEKDAY(DATE(CalendarYear,4,20),1),"aaa")</f>
        <v>Sun</v>
      </c>
      <c r="W7" s="23" t="str">
        <f ca="1">TEXT(WEEKDAY(DATE(CalendarYear,4,21),1),"aaa")</f>
        <v>Mon</v>
      </c>
      <c r="X7" s="23" t="str">
        <f ca="1">TEXT(WEEKDAY(DATE(CalendarYear,4,22),1),"aaa")</f>
        <v>Tue</v>
      </c>
      <c r="Y7" s="23" t="str">
        <f ca="1">TEXT(WEEKDAY(DATE(CalendarYear,4,23),1),"aaa")</f>
        <v>Wed</v>
      </c>
      <c r="Z7" s="23" t="str">
        <f ca="1">TEXT(WEEKDAY(DATE(CalendarYear,4,24),1),"aaa")</f>
        <v>Thu</v>
      </c>
      <c r="AA7" s="23" t="str">
        <f ca="1">TEXT(WEEKDAY(DATE(CalendarYear,4,25),1),"aaa")</f>
        <v>Fri</v>
      </c>
      <c r="AB7" s="23" t="str">
        <f ca="1">TEXT(WEEKDAY(DATE(CalendarYear,4,26),1),"aaa")</f>
        <v>Sat</v>
      </c>
      <c r="AC7" s="23" t="str">
        <f ca="1">TEXT(WEEKDAY(DATE(CalendarYear,4,27),1),"aaa")</f>
        <v>Sun</v>
      </c>
      <c r="AD7" s="23" t="str">
        <f ca="1">TEXT(WEEKDAY(DATE(CalendarYear,4,28),1),"aaa")</f>
        <v>Mon</v>
      </c>
      <c r="AE7" s="23" t="str">
        <f ca="1">TEXT(WEEKDAY(DATE(CalendarYear,4,29),1),"aaa")</f>
        <v>Tue</v>
      </c>
      <c r="AF7" s="23" t="str">
        <f ca="1">TEXT(WEEKDAY(DATE(CalendarYear,4,30),1),"aaa")</f>
        <v>Wed</v>
      </c>
      <c r="AG7" s="23"/>
      <c r="AH7" s="7"/>
    </row>
    <row r="8" spans="2: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33</v>
      </c>
      <c r="AH8" s="24" t="s">
        <v>63</v>
      </c>
    </row>
    <row r="9" spans="2:34" ht="30" customHeight="1" x14ac:dyDescent="0.25">
      <c r="B9" s="2" t="s">
        <v>57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3">
        <f>COUNTA(March5[[#This Row],[1]:[ ]])</f>
        <v>0</v>
      </c>
    </row>
    <row r="10" spans="2:34" ht="30" customHeight="1" x14ac:dyDescent="0.25">
      <c r="B10" s="2" t="s">
        <v>58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COUNTA(March5[[#This Row],[1]:[ ]])</f>
        <v>0</v>
      </c>
    </row>
    <row r="11" spans="2:34" ht="30" customHeight="1" x14ac:dyDescent="0.25">
      <c r="B11" s="2" t="s">
        <v>59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3">
        <f>COUNTA(March5[[#This Row],[1]:[ ]])</f>
        <v>0</v>
      </c>
    </row>
    <row r="12" spans="2:34" ht="30" customHeight="1" x14ac:dyDescent="0.25">
      <c r="B12" s="2" t="s">
        <v>60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COUNTA(March5[[#This Row],[1]:[ ]])</f>
        <v>0</v>
      </c>
    </row>
    <row r="13" spans="2:34" ht="30" customHeight="1" x14ac:dyDescent="0.25">
      <c r="B13" s="2" t="s">
        <v>61</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3">
        <f>COUNTA(March5[[#This Row],[1]:[ ]])</f>
        <v>0</v>
      </c>
    </row>
    <row r="14" spans="2:34" ht="30" customHeight="1" x14ac:dyDescent="0.25">
      <c r="B14" s="5" t="str">
        <f>MonthName&amp;" Total"</f>
        <v xml:space="preserve"> Total</v>
      </c>
      <c r="C14" s="4">
        <f>SUBTOTAL(103,March5[1])</f>
        <v>0</v>
      </c>
      <c r="D14" s="4">
        <f>SUBTOTAL(103,March5[2])</f>
        <v>0</v>
      </c>
      <c r="E14" s="4">
        <f>SUBTOTAL(103,March5[3])</f>
        <v>0</v>
      </c>
      <c r="F14" s="4">
        <f>SUBTOTAL(103,March5[4])</f>
        <v>0</v>
      </c>
      <c r="G14" s="4">
        <f>SUBTOTAL(103,March5[5])</f>
        <v>0</v>
      </c>
      <c r="H14" s="4">
        <f>SUBTOTAL(103,March5[6])</f>
        <v>0</v>
      </c>
      <c r="I14" s="4">
        <f>SUBTOTAL(103,March5[7])</f>
        <v>0</v>
      </c>
      <c r="J14" s="4">
        <f>SUBTOTAL(103,March5[8])</f>
        <v>0</v>
      </c>
      <c r="K14" s="4">
        <f>SUBTOTAL(103,March5[9])</f>
        <v>0</v>
      </c>
      <c r="L14" s="4">
        <f>SUBTOTAL(103,March5[10])</f>
        <v>0</v>
      </c>
      <c r="M14" s="4">
        <f>SUBTOTAL(103,March5[11])</f>
        <v>0</v>
      </c>
      <c r="N14" s="4">
        <f>SUBTOTAL(103,March5[12])</f>
        <v>0</v>
      </c>
      <c r="O14" s="4">
        <f>SUBTOTAL(103,March5[13])</f>
        <v>0</v>
      </c>
      <c r="P14" s="4">
        <f>SUBTOTAL(103,March5[14])</f>
        <v>0</v>
      </c>
      <c r="Q14" s="4">
        <f>SUBTOTAL(103,March5[15])</f>
        <v>0</v>
      </c>
      <c r="R14" s="4">
        <f>SUBTOTAL(103,March5[16])</f>
        <v>0</v>
      </c>
      <c r="S14" s="4">
        <f>SUBTOTAL(103,March5[17])</f>
        <v>0</v>
      </c>
      <c r="T14" s="4">
        <f>SUBTOTAL(103,March5[18])</f>
        <v>0</v>
      </c>
      <c r="U14" s="4">
        <f>SUBTOTAL(103,March5[19])</f>
        <v>0</v>
      </c>
      <c r="V14" s="4">
        <f>SUBTOTAL(103,March5[20])</f>
        <v>0</v>
      </c>
      <c r="W14" s="4">
        <f>SUBTOTAL(103,March5[21])</f>
        <v>0</v>
      </c>
      <c r="X14" s="4">
        <f>SUBTOTAL(103,March5[22])</f>
        <v>0</v>
      </c>
      <c r="Y14" s="4">
        <f>SUBTOTAL(103,March5[23])</f>
        <v>0</v>
      </c>
      <c r="Z14" s="4">
        <f>SUBTOTAL(103,March5[24])</f>
        <v>0</v>
      </c>
      <c r="AA14" s="4">
        <f>SUBTOTAL(103,March5[25])</f>
        <v>0</v>
      </c>
      <c r="AB14" s="4">
        <f>SUBTOTAL(103,March5[26])</f>
        <v>0</v>
      </c>
      <c r="AC14" s="4">
        <f>SUBTOTAL(103,March5[27])</f>
        <v>0</v>
      </c>
      <c r="AD14" s="4">
        <f>SUBTOTAL(103,March5[28])</f>
        <v>0</v>
      </c>
      <c r="AE14" s="4">
        <f>SUBTOTAL(103,March5[29])</f>
        <v>0</v>
      </c>
      <c r="AF14" s="4">
        <f>SUBTOTAL(109,March5[30])</f>
        <v>0</v>
      </c>
      <c r="AG14" s="4">
        <f>SUBTOTAL(109,March5[[ ]])</f>
        <v>0</v>
      </c>
      <c r="AH14" s="4">
        <f>SUBTOTAL(109,March5[Total days])</f>
        <v>0</v>
      </c>
    </row>
  </sheetData>
  <mergeCells count="6">
    <mergeCell ref="C6:AG6"/>
    <mergeCell ref="D4:F4"/>
    <mergeCell ref="H4:J4"/>
    <mergeCell ref="L4:M4"/>
    <mergeCell ref="O4:Q4"/>
    <mergeCell ref="S4:U4"/>
  </mergeCells>
  <phoneticPr fontId="13" type="noConversion"/>
  <conditionalFormatting sqref="C9:AG13">
    <cfRule type="expression" priority="1" stopIfTrue="1">
      <formula>C9=""</formula>
    </cfRule>
    <cfRule type="expression" dxfId="665" priority="2" stopIfTrue="1">
      <formula>C9=KeyCustom2</formula>
    </cfRule>
    <cfRule type="expression" dxfId="664" priority="3" stopIfTrue="1">
      <formula>C9=KeyCustom1</formula>
    </cfRule>
    <cfRule type="expression" dxfId="663" priority="4" stopIfTrue="1">
      <formula>C9=KeySick</formula>
    </cfRule>
    <cfRule type="expression" dxfId="662" priority="5" stopIfTrue="1">
      <formula>C9=KeyPersonal</formula>
    </cfRule>
    <cfRule type="expression" dxfId="661" priority="6" stopIfTrue="1">
      <formula>C9=KeyVacation</formula>
    </cfRule>
  </conditionalFormatting>
  <conditionalFormatting sqref="AH9:AH13">
    <cfRule type="dataBar" priority="7">
      <dataBar>
        <cfvo type="min"/>
        <cfvo type="formula" val="DATEDIF(DATE(CalendarYear,2,1),DATE(CalendarYear,3,1),&quot;d&quot;)"/>
        <color theme="2" tint="-0.249977111117893"/>
      </dataBar>
      <extLst>
        <ext xmlns:x14="http://schemas.microsoft.com/office/spreadsheetml/2009/9/main" uri="{B025F937-C7B1-47D3-B67F-A62EFF666E3E}">
          <x14:id>{C6C51CE4-E5A5-6548-B677-75BFC57A1AE7}</x14:id>
        </ext>
      </extLst>
    </cfRule>
  </conditionalFormatting>
  <dataValidations count="15">
    <dataValidation allowBlank="1" showInputMessage="1" showErrorMessage="1" prompt="Automatically updated year based on year entered in January worksheet" sqref="AH6" xr:uid="{D534D450-4040-4C4B-ACFB-E0820ABC2CFC}"/>
    <dataValidation allowBlank="1" showInputMessage="1" showErrorMessage="1" prompt="Automatically calculates total number of days an employee was absent this month in this column" sqref="AH8" xr:uid="{DC341019-F88D-494A-80A9-FE7E975A2861}"/>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F36BC021-F71B-E743-A612-BDD36FE48F9B}"/>
    <dataValidation allowBlank="1" showInputMessage="1" showErrorMessage="1" prompt="Automatically updated title is in this cell. To modify the title, update B1 on January worksheet" sqref="B2" xr:uid="{FC807180-F3E3-414D-9702-8FBC5210B550}"/>
    <dataValidation allowBlank="1" showInputMessage="1" showErrorMessage="1" prompt="The letter &quot;V&quot; indicates absence due to vacation" sqref="C4" xr:uid="{9CBE34E6-0511-5048-AE20-9F897B187012}"/>
    <dataValidation allowBlank="1" showInputMessage="1" showErrorMessage="1" prompt="The letter &quot;P&quot; indicates absence due to personal reasons" sqref="G4" xr:uid="{5419C718-C3A6-674F-AF48-3D453E137C51}"/>
    <dataValidation allowBlank="1" showInputMessage="1" showErrorMessage="1" prompt="The letter &quot;S&quot; indicates absence due to illness" sqref="K4" xr:uid="{18D615F6-AC13-3C41-A34B-EA42A09C3C9E}"/>
    <dataValidation allowBlank="1" showInputMessage="1" showErrorMessage="1" prompt="Enter a letter and customize the label at right to add another key item" sqref="N4 R4" xr:uid="{D6CD6DEA-0056-CD45-92F4-DEFAAA621621}"/>
    <dataValidation allowBlank="1" showInputMessage="1" showErrorMessage="1" prompt="Enter a label to describe the custom key at left" sqref="O4:Q4 S4:U4" xr:uid="{3D377D6E-BC27-654F-9B85-1EA9759F1F9B}"/>
    <dataValidation allowBlank="1" showInputMessage="1" showErrorMessage="1" prompt="Month name for this absence schedule is in this cell. Absence totals for this month are in last cell of the table. Select employee names in table column B" sqref="B2" xr:uid="{8A4BB08A-5DC1-A74C-9332-E844D960CD41}"/>
    <dataValidation allowBlank="1" showInputMessage="1" showErrorMessage="1" prompt="Days of the month in this row are automatically generated. Enter an employee's absence and absence type in each column for each day of the month. Blank means no absence" sqref="C8" xr:uid="{D8726BCE-956C-3B41-916D-0B0F98B156A4}"/>
    <dataValidation allowBlank="1" showInputMessage="1" showErrorMessage="1" prompt="Weekdays in this row are automatically updated for the month according to the year in AH4. Each day of the month is a column to note an employee's absence and absence type" sqref="C7" xr:uid="{492FF65C-4A5C-D048-AC41-58954D7E6423}"/>
    <dataValidation allowBlank="1" showInputMessage="1" showErrorMessage="1" prompt="Track March absence in this worksheet" sqref="A1" xr:uid="{9C29030B-C671-584C-88AB-6E5DAA9E8710}"/>
    <dataValidation allowBlank="1" showInputMessage="1" showErrorMessage="1" prompt="This row defines the keys used in the table: cell C4 is Vacation, G4 is Personal, &amp; K4 is Sick leave. Cells N4 &amp; R4 are customizable " sqref="B4" xr:uid="{5938E394-FC66-4AD8-81BE-3B6CE81FAFA6}"/>
    <dataValidation allowBlank="1" showInputMessage="1" showErrorMessage="1" prompt="Title of the worksheet is in this cell. " sqref="B1" xr:uid="{CFDFBA1E-67F5-48E1-9539-54C88919AFDF}"/>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C6C51CE4-E5A5-6548-B677-75BFC57A1AE7}">
            <x14:dataBar minLength="0" maxLength="100">
              <x14:cfvo type="autoMin"/>
              <x14:cfvo type="formula">
                <xm:f>DATEDIF(DATE(CalendarYear,2,1),DATE(CalendarYear,3,1),"d")</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0626E6-C18A-DC42-8971-E3030B4FEB3F}">
          <x14:formula1>
            <xm:f>'Employee names'!$B$4:$B$8</xm:f>
          </x14:formula1>
          <xm:sqref>B9:B13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pageSetUpPr fitToPage="1"/>
  </sheetPr>
  <dimension ref="B1:AH14"/>
  <sheetViews>
    <sheetView showGridLines="0" zoomScaleNormal="100" workbookViewId="0">
      <selection activeCell="B2" sqref="B2"/>
    </sheetView>
  </sheetViews>
  <sheetFormatPr defaultColWidth="8.710937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2:34" ht="49.9" customHeight="1" x14ac:dyDescent="0.35">
      <c r="B1" s="25" t="s">
        <v>54</v>
      </c>
    </row>
    <row r="2" spans="2:34" ht="100.15" customHeight="1" x14ac:dyDescent="0.25">
      <c r="B2" s="39" t="s">
        <v>45</v>
      </c>
    </row>
    <row r="3" spans="2:34" ht="1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2: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2:34" ht="15"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CalendarYear</f>
        <v>2025</v>
      </c>
    </row>
    <row r="7" spans="2:34" ht="30" customHeight="1" x14ac:dyDescent="0.25">
      <c r="B7" s="7"/>
      <c r="C7" s="23" t="str">
        <f ca="1">TEXT(WEEKDAY(DATE(CalendarYear,5,1),1),"aaa")</f>
        <v>Thu</v>
      </c>
      <c r="D7" s="23" t="str">
        <f ca="1">TEXT(WEEKDAY(DATE(CalendarYear,5,2),1),"aaa")</f>
        <v>Fri</v>
      </c>
      <c r="E7" s="23" t="str">
        <f ca="1">TEXT(WEEKDAY(DATE(CalendarYear,5,3),1),"aaa")</f>
        <v>Sat</v>
      </c>
      <c r="F7" s="23" t="str">
        <f ca="1">TEXT(WEEKDAY(DATE(CalendarYear,5,4),1),"aaa")</f>
        <v>Sun</v>
      </c>
      <c r="G7" s="23" t="str">
        <f ca="1">TEXT(WEEKDAY(DATE(CalendarYear,5,5),1),"aaa")</f>
        <v>Mon</v>
      </c>
      <c r="H7" s="23" t="str">
        <f ca="1">TEXT(WEEKDAY(DATE(CalendarYear,5,6),1),"aaa")</f>
        <v>Tue</v>
      </c>
      <c r="I7" s="23" t="str">
        <f ca="1">TEXT(WEEKDAY(DATE(CalendarYear,5,7),1),"aaa")</f>
        <v>Wed</v>
      </c>
      <c r="J7" s="23" t="str">
        <f ca="1">TEXT(WEEKDAY(DATE(CalendarYear,5,8),1),"aaa")</f>
        <v>Thu</v>
      </c>
      <c r="K7" s="23" t="str">
        <f ca="1">TEXT(WEEKDAY(DATE(CalendarYear,5,9),1),"aaa")</f>
        <v>Fri</v>
      </c>
      <c r="L7" s="23" t="str">
        <f ca="1">TEXT(WEEKDAY(DATE(CalendarYear,5,10),1),"aaa")</f>
        <v>Sat</v>
      </c>
      <c r="M7" s="23" t="str">
        <f ca="1">TEXT(WEEKDAY(DATE(CalendarYear,5,11),1),"aaa")</f>
        <v>Sun</v>
      </c>
      <c r="N7" s="23" t="str">
        <f ca="1">TEXT(WEEKDAY(DATE(CalendarYear,5,12),1),"aaa")</f>
        <v>Mon</v>
      </c>
      <c r="O7" s="23" t="str">
        <f ca="1">TEXT(WEEKDAY(DATE(CalendarYear,5,13),1),"aaa")</f>
        <v>Tue</v>
      </c>
      <c r="P7" s="23" t="str">
        <f ca="1">TEXT(WEEKDAY(DATE(CalendarYear,5,14),1),"aaa")</f>
        <v>Wed</v>
      </c>
      <c r="Q7" s="23" t="str">
        <f ca="1">TEXT(WEEKDAY(DATE(CalendarYear,5,15),1),"aaa")</f>
        <v>Thu</v>
      </c>
      <c r="R7" s="23" t="str">
        <f ca="1">TEXT(WEEKDAY(DATE(CalendarYear,5,16),1),"aaa")</f>
        <v>Fri</v>
      </c>
      <c r="S7" s="23" t="str">
        <f ca="1">TEXT(WEEKDAY(DATE(CalendarYear,5,17),1),"aaa")</f>
        <v>Sat</v>
      </c>
      <c r="T7" s="23" t="str">
        <f ca="1">TEXT(WEEKDAY(DATE(CalendarYear,5,18),1),"aaa")</f>
        <v>Sun</v>
      </c>
      <c r="U7" s="23" t="str">
        <f ca="1">TEXT(WEEKDAY(DATE(CalendarYear,5,19),1),"aaa")</f>
        <v>Mon</v>
      </c>
      <c r="V7" s="23" t="str">
        <f ca="1">TEXT(WEEKDAY(DATE(CalendarYear,5,20),1),"aaa")</f>
        <v>Tue</v>
      </c>
      <c r="W7" s="23" t="str">
        <f ca="1">TEXT(WEEKDAY(DATE(CalendarYear,5,21),1),"aaa")</f>
        <v>Wed</v>
      </c>
      <c r="X7" s="23" t="str">
        <f ca="1">TEXT(WEEKDAY(DATE(CalendarYear,5,22),1),"aaa")</f>
        <v>Thu</v>
      </c>
      <c r="Y7" s="23" t="str">
        <f ca="1">TEXT(WEEKDAY(DATE(CalendarYear,5,23),1),"aaa")</f>
        <v>Fri</v>
      </c>
      <c r="Z7" s="23" t="str">
        <f ca="1">TEXT(WEEKDAY(DATE(CalendarYear,5,24),1),"aaa")</f>
        <v>Sat</v>
      </c>
      <c r="AA7" s="23" t="str">
        <f ca="1">TEXT(WEEKDAY(DATE(CalendarYear,5,25),1),"aaa")</f>
        <v>Sun</v>
      </c>
      <c r="AB7" s="23" t="str">
        <f ca="1">TEXT(WEEKDAY(DATE(CalendarYear,5,26),1),"aaa")</f>
        <v>Mon</v>
      </c>
      <c r="AC7" s="23" t="str">
        <f ca="1">TEXT(WEEKDAY(DATE(CalendarYear,5,27),1),"aaa")</f>
        <v>Tue</v>
      </c>
      <c r="AD7" s="23" t="str">
        <f ca="1">TEXT(WEEKDAY(DATE(CalendarYear,5,28),1),"aaa")</f>
        <v>Wed</v>
      </c>
      <c r="AE7" s="23" t="str">
        <f ca="1">TEXT(WEEKDAY(DATE(CalendarYear,5,29),1),"aaa")</f>
        <v>Thu</v>
      </c>
      <c r="AF7" s="23" t="str">
        <f ca="1">TEXT(WEEKDAY(DATE(CalendarYear,5,30),1),"aaa")</f>
        <v>Fri</v>
      </c>
      <c r="AG7" s="23" t="str">
        <f ca="1">TEXT(WEEKDAY(DATE(CalendarYear,5,31),1),"aaa")</f>
        <v>Sat</v>
      </c>
      <c r="AH7" s="7"/>
    </row>
    <row r="8" spans="2: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24" t="s">
        <v>63</v>
      </c>
    </row>
    <row r="9" spans="2:34" ht="30" customHeight="1" x14ac:dyDescent="0.25">
      <c r="B9" s="2" t="s">
        <v>57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3">
        <f>COUNTA(March58[[#This Row],[1]:[31]])</f>
        <v>0</v>
      </c>
    </row>
    <row r="10" spans="2:34" ht="30" customHeight="1" x14ac:dyDescent="0.25">
      <c r="B10" s="2" t="s">
        <v>58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COUNTA(March58[[#This Row],[1]:[31]])</f>
        <v>0</v>
      </c>
    </row>
    <row r="11" spans="2:34" ht="30" customHeight="1" x14ac:dyDescent="0.25">
      <c r="B11" s="2" t="s">
        <v>59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3">
        <f>COUNTA(March58[[#This Row],[1]:[31]])</f>
        <v>0</v>
      </c>
    </row>
    <row r="12" spans="2:34" ht="30" customHeight="1" x14ac:dyDescent="0.25">
      <c r="B12" s="2" t="s">
        <v>60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COUNTA(March58[[#This Row],[1]:[31]])</f>
        <v>0</v>
      </c>
    </row>
    <row r="13" spans="2:34" ht="30" customHeight="1" x14ac:dyDescent="0.25">
      <c r="B13" s="2" t="s">
        <v>61</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3">
        <f>COUNTA(March58[[#This Row],[1]:[31]])</f>
        <v>0</v>
      </c>
    </row>
    <row r="14" spans="2:34" ht="30" customHeight="1" x14ac:dyDescent="0.25">
      <c r="B14" s="5" t="str">
        <f>MonthName&amp;" Total"</f>
        <v>Absence type key Total</v>
      </c>
      <c r="C14" s="4">
        <f>SUBTOTAL(103,March58[1])</f>
        <v>0</v>
      </c>
      <c r="D14" s="4">
        <f>SUBTOTAL(103,March58[2])</f>
        <v>0</v>
      </c>
      <c r="E14" s="4">
        <f>SUBTOTAL(103,March58[3])</f>
        <v>0</v>
      </c>
      <c r="F14" s="4">
        <f>SUBTOTAL(103,March58[4])</f>
        <v>0</v>
      </c>
      <c r="G14" s="4">
        <f>SUBTOTAL(103,March58[5])</f>
        <v>0</v>
      </c>
      <c r="H14" s="4">
        <f>SUBTOTAL(103,March58[6])</f>
        <v>0</v>
      </c>
      <c r="I14" s="4">
        <f>SUBTOTAL(103,March58[7])</f>
        <v>0</v>
      </c>
      <c r="J14" s="4">
        <f>SUBTOTAL(103,March58[8])</f>
        <v>0</v>
      </c>
      <c r="K14" s="4">
        <f>SUBTOTAL(103,March58[9])</f>
        <v>0</v>
      </c>
      <c r="L14" s="4">
        <f>SUBTOTAL(103,March58[10])</f>
        <v>0</v>
      </c>
      <c r="M14" s="4">
        <f>SUBTOTAL(103,March58[11])</f>
        <v>0</v>
      </c>
      <c r="N14" s="4">
        <f>SUBTOTAL(103,March58[12])</f>
        <v>0</v>
      </c>
      <c r="O14" s="4">
        <f>SUBTOTAL(103,March58[13])</f>
        <v>0</v>
      </c>
      <c r="P14" s="4">
        <f>SUBTOTAL(103,March58[14])</f>
        <v>0</v>
      </c>
      <c r="Q14" s="4">
        <f>SUBTOTAL(103,March58[15])</f>
        <v>0</v>
      </c>
      <c r="R14" s="4">
        <f>SUBTOTAL(103,March58[16])</f>
        <v>0</v>
      </c>
      <c r="S14" s="4">
        <f>SUBTOTAL(103,March58[17])</f>
        <v>0</v>
      </c>
      <c r="T14" s="4">
        <f>SUBTOTAL(103,March58[18])</f>
        <v>0</v>
      </c>
      <c r="U14" s="4">
        <f>SUBTOTAL(103,March58[19])</f>
        <v>0</v>
      </c>
      <c r="V14" s="4">
        <f>SUBTOTAL(103,March58[20])</f>
        <v>0</v>
      </c>
      <c r="W14" s="4">
        <f>SUBTOTAL(103,March58[21])</f>
        <v>0</v>
      </c>
      <c r="X14" s="4">
        <f>SUBTOTAL(103,March58[22])</f>
        <v>0</v>
      </c>
      <c r="Y14" s="4">
        <f>SUBTOTAL(103,March58[23])</f>
        <v>0</v>
      </c>
      <c r="Z14" s="4">
        <f>SUBTOTAL(103,March58[24])</f>
        <v>0</v>
      </c>
      <c r="AA14" s="4">
        <f>SUBTOTAL(103,March58[25])</f>
        <v>0</v>
      </c>
      <c r="AB14" s="4">
        <f>SUBTOTAL(103,March58[26])</f>
        <v>0</v>
      </c>
      <c r="AC14" s="4">
        <f>SUBTOTAL(103,March58[27])</f>
        <v>0</v>
      </c>
      <c r="AD14" s="4">
        <f>SUBTOTAL(103,March58[28])</f>
        <v>0</v>
      </c>
      <c r="AE14" s="4">
        <f>SUBTOTAL(103,March58[29])</f>
        <v>0</v>
      </c>
      <c r="AF14" s="4">
        <f>SUBTOTAL(109,March58[30])</f>
        <v>0</v>
      </c>
      <c r="AG14" s="4">
        <f>SUBTOTAL(109,March58[31])</f>
        <v>0</v>
      </c>
      <c r="AH14" s="4">
        <f>SUBTOTAL(109,March58[Total days])</f>
        <v>0</v>
      </c>
    </row>
  </sheetData>
  <mergeCells count="6">
    <mergeCell ref="C6:AG6"/>
    <mergeCell ref="D4:F4"/>
    <mergeCell ref="H4:J4"/>
    <mergeCell ref="L4:M4"/>
    <mergeCell ref="O4:Q4"/>
    <mergeCell ref="S4:U4"/>
  </mergeCells>
  <conditionalFormatting sqref="C9:AG13">
    <cfRule type="expression" priority="1" stopIfTrue="1">
      <formula>C9=""</formula>
    </cfRule>
    <cfRule type="expression" dxfId="591" priority="2" stopIfTrue="1">
      <formula>C9=KeyCustom2</formula>
    </cfRule>
    <cfRule type="expression" dxfId="590" priority="3" stopIfTrue="1">
      <formula>C9=KeyCustom1</formula>
    </cfRule>
    <cfRule type="expression" dxfId="589" priority="4" stopIfTrue="1">
      <formula>C9=KeySick</formula>
    </cfRule>
    <cfRule type="expression" dxfId="588" priority="5" stopIfTrue="1">
      <formula>C9=KeyPersonal</formula>
    </cfRule>
    <cfRule type="expression" dxfId="587" priority="6" stopIfTrue="1">
      <formula>C9=KeyVacation</formula>
    </cfRule>
  </conditionalFormatting>
  <conditionalFormatting sqref="AH9:AH13">
    <cfRule type="dataBar" priority="7">
      <dataBar>
        <cfvo type="min"/>
        <cfvo type="formula" val="DATEDIF(DATE(CalendarYear,2,1),DATE(CalendarYear,3,1),&quot;d&quot;)"/>
        <color theme="2" tint="-0.249977111117893"/>
      </dataBar>
      <extLst>
        <ext xmlns:x14="http://schemas.microsoft.com/office/spreadsheetml/2009/9/main" uri="{B025F937-C7B1-47D3-B67F-A62EFF666E3E}">
          <x14:id>{A375B1A4-CE4E-6D4B-BAE6-14354F30C96E}</x14:id>
        </ext>
      </extLst>
    </cfRule>
  </conditionalFormatting>
  <dataValidations count="15">
    <dataValidation allowBlank="1" showInputMessage="1" showErrorMessage="1" prompt="Days of the month in this row are automatically generated. Enter an employee's absence and absence type in each column for each day of the month. Blank means no absence" sqref="C8" xr:uid="{335D4725-041B-2E47-BBA9-5D657DA932CD}"/>
    <dataValidation allowBlank="1" showInputMessage="1" showErrorMessage="1" prompt="Enter a label to describe the custom key at left" sqref="O4:Q4 S4:U4" xr:uid="{F2F4B9BA-4CA6-A143-BE13-C064DBB63530}"/>
    <dataValidation allowBlank="1" showInputMessage="1" showErrorMessage="1" prompt="Enter a letter and customize the label at right to add another key item" sqref="N4 R4" xr:uid="{CF766EB9-3E0D-684E-A12B-CB8F4BAD775E}"/>
    <dataValidation allowBlank="1" showInputMessage="1" showErrorMessage="1" prompt="The letter &quot;S&quot; indicates absence due to illness" sqref="K4" xr:uid="{3537E7A5-9E96-464A-B5FE-F2820F66FFBD}"/>
    <dataValidation allowBlank="1" showInputMessage="1" showErrorMessage="1" prompt="The letter &quot;P&quot; indicates absence due to personal reasons" sqref="G4" xr:uid="{6ADF4CD3-D63B-E545-894D-A95EAB7AA9C6}"/>
    <dataValidation allowBlank="1" showInputMessage="1" showErrorMessage="1" prompt="The letter &quot;V&quot; indicates absence due to vacation" sqref="C4" xr:uid="{71A4EE94-BDAB-1543-9622-ADA5E60EF442}"/>
    <dataValidation allowBlank="1" showInputMessage="1" showErrorMessage="1" prompt="Automatically updated title is in this cell. To modify the title, update B1 on January worksheet" sqref="B2" xr:uid="{AF65042B-CFA9-EE45-B22D-BF607EFD23A2}"/>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5151223E-F15A-CC42-BB59-D2CDBDCF3261}"/>
    <dataValidation allowBlank="1" showInputMessage="1" showErrorMessage="1" prompt="Automatically calculates total number of days an employee was absent this month in this column" sqref="AH8" xr:uid="{AA6AB7B7-5D91-F64F-B211-A848209375D2}"/>
    <dataValidation allowBlank="1" showInputMessage="1" showErrorMessage="1" prompt="Automatically updated year based on year entered in January worksheet" sqref="AH6" xr:uid="{B487DEDD-C1B1-7244-96C6-F378FEF21F51}"/>
    <dataValidation allowBlank="1" showInputMessage="1" showErrorMessage="1" prompt="Weekdays in this row are automatically updated for the month according to the year in AH4. Each day of the month is a column to note an employee's absence and absence type" sqref="C7" xr:uid="{01F3DA31-27D6-FF4D-B48B-4013BF344DCF}"/>
    <dataValidation allowBlank="1" showInputMessage="1" showErrorMessage="1" prompt="Track March absence in this worksheet" sqref="A1" xr:uid="{13CF1C37-090E-F24B-AF68-CAE6199B19CC}"/>
    <dataValidation allowBlank="1" showInputMessage="1" showErrorMessage="1" prompt="Month name for this absence schedule is in this cell. Absence totals for this month are in last cell of the table. Select employee names in table column B" sqref="B2" xr:uid="{B5AA8D04-FE35-8C4F-90FD-347160FC6301}"/>
    <dataValidation allowBlank="1" showInputMessage="1" showErrorMessage="1" prompt="This row defines the keys used in the table: cell C4 is Vacation, G4 is Personal, &amp; K4 is Sick leave. Cells N4 &amp; R4 are customizable " sqref="B4" xr:uid="{E5AF47AE-EACF-4382-8995-97EA4D653F4A}"/>
    <dataValidation allowBlank="1" showInputMessage="1" showErrorMessage="1" prompt="Title of the worksheet is in this cell. " sqref="B1" xr:uid="{4F7FEADB-B66E-49E8-AD11-DB789AA552A4}"/>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375B1A4-CE4E-6D4B-BAE6-14354F30C96E}">
            <x14:dataBar minLength="0" maxLength="100">
              <x14:cfvo type="autoMin"/>
              <x14:cfvo type="formula">
                <xm:f>DATEDIF(DATE(CalendarYear,2,1),DATE(CalendarYear,3,1),"d")</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1B1DACF-B091-8040-A452-F5B0F1F6A6F7}">
          <x14:formula1>
            <xm:f>'Employee names'!$B$4:$B$8</xm:f>
          </x14:formula1>
          <xm:sqref>B9:B13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B1:AH14"/>
  <sheetViews>
    <sheetView showGridLines="0" zoomScaleNormal="100" workbookViewId="0">
      <selection activeCell="B2" sqref="B2"/>
    </sheetView>
  </sheetViews>
  <sheetFormatPr defaultColWidth="8.710937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2:34" ht="50.25" customHeight="1" x14ac:dyDescent="0.35">
      <c r="B1" s="25" t="s">
        <v>54</v>
      </c>
    </row>
    <row r="2" spans="2:34" ht="100.15" customHeight="1" x14ac:dyDescent="0.25">
      <c r="B2" s="39" t="s">
        <v>46</v>
      </c>
    </row>
    <row r="3" spans="2:34" ht="1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2: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2:34" ht="15" customHeight="1"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CalendarYear</f>
        <v>2025</v>
      </c>
    </row>
    <row r="7" spans="2:34" ht="30" customHeight="1" x14ac:dyDescent="0.25">
      <c r="B7" s="7"/>
      <c r="C7" s="23" t="str">
        <f ca="1">TEXT(WEEKDAY(DATE(CalendarYear,6,1),1),"aaa")</f>
        <v>Sun</v>
      </c>
      <c r="D7" s="23" t="str">
        <f ca="1">TEXT(WEEKDAY(DATE(CalendarYear,6,2),1),"aaa")</f>
        <v>Mon</v>
      </c>
      <c r="E7" s="23" t="str">
        <f ca="1">TEXT(WEEKDAY(DATE(CalendarYear,6,3),1),"aaa")</f>
        <v>Tue</v>
      </c>
      <c r="F7" s="23" t="str">
        <f ca="1">TEXT(WEEKDAY(DATE(CalendarYear,6,4),1),"aaa")</f>
        <v>Wed</v>
      </c>
      <c r="G7" s="23" t="str">
        <f ca="1">TEXT(WEEKDAY(DATE(CalendarYear,6,5),1),"aaa")</f>
        <v>Thu</v>
      </c>
      <c r="H7" s="23" t="str">
        <f ca="1">TEXT(WEEKDAY(DATE(CalendarYear,6,6),1),"aaa")</f>
        <v>Fri</v>
      </c>
      <c r="I7" s="23" t="str">
        <f ca="1">TEXT(WEEKDAY(DATE(CalendarYear,6,7),1),"aaa")</f>
        <v>Sat</v>
      </c>
      <c r="J7" s="23" t="str">
        <f ca="1">TEXT(WEEKDAY(DATE(CalendarYear,6,8),1),"aaa")</f>
        <v>Sun</v>
      </c>
      <c r="K7" s="23" t="str">
        <f ca="1">TEXT(WEEKDAY(DATE(CalendarYear,6,9),1),"aaa")</f>
        <v>Mon</v>
      </c>
      <c r="L7" s="23" t="str">
        <f ca="1">TEXT(WEEKDAY(DATE(CalendarYear,6,10),1),"aaa")</f>
        <v>Tue</v>
      </c>
      <c r="M7" s="23" t="str">
        <f ca="1">TEXT(WEEKDAY(DATE(CalendarYear,6,11),1),"aaa")</f>
        <v>Wed</v>
      </c>
      <c r="N7" s="23" t="str">
        <f ca="1">TEXT(WEEKDAY(DATE(CalendarYear,6,12),1),"aaa")</f>
        <v>Thu</v>
      </c>
      <c r="O7" s="23" t="str">
        <f ca="1">TEXT(WEEKDAY(DATE(CalendarYear,6,13),1),"aaa")</f>
        <v>Fri</v>
      </c>
      <c r="P7" s="23" t="str">
        <f ca="1">TEXT(WEEKDAY(DATE(CalendarYear,6,14),1),"aaa")</f>
        <v>Sat</v>
      </c>
      <c r="Q7" s="23" t="str">
        <f ca="1">TEXT(WEEKDAY(DATE(CalendarYear,6,15),1),"aaa")</f>
        <v>Sun</v>
      </c>
      <c r="R7" s="23" t="str">
        <f ca="1">TEXT(WEEKDAY(DATE(CalendarYear,6,16),1),"aaa")</f>
        <v>Mon</v>
      </c>
      <c r="S7" s="23" t="str">
        <f ca="1">TEXT(WEEKDAY(DATE(CalendarYear,6,17),1),"aaa")</f>
        <v>Tue</v>
      </c>
      <c r="T7" s="23" t="str">
        <f ca="1">TEXT(WEEKDAY(DATE(CalendarYear,6,18),1),"aaa")</f>
        <v>Wed</v>
      </c>
      <c r="U7" s="23" t="str">
        <f ca="1">TEXT(WEEKDAY(DATE(CalendarYear,6,19),1),"aaa")</f>
        <v>Thu</v>
      </c>
      <c r="V7" s="23" t="str">
        <f ca="1">TEXT(WEEKDAY(DATE(CalendarYear,6,20),1),"aaa")</f>
        <v>Fri</v>
      </c>
      <c r="W7" s="23" t="str">
        <f ca="1">TEXT(WEEKDAY(DATE(CalendarYear,6,21),1),"aaa")</f>
        <v>Sat</v>
      </c>
      <c r="X7" s="23" t="str">
        <f ca="1">TEXT(WEEKDAY(DATE(CalendarYear,6,22),1),"aaa")</f>
        <v>Sun</v>
      </c>
      <c r="Y7" s="23" t="str">
        <f ca="1">TEXT(WEEKDAY(DATE(CalendarYear,6,23),1),"aaa")</f>
        <v>Mon</v>
      </c>
      <c r="Z7" s="23" t="str">
        <f ca="1">TEXT(WEEKDAY(DATE(CalendarYear,6,24),1),"aaa")</f>
        <v>Tue</v>
      </c>
      <c r="AA7" s="23" t="str">
        <f ca="1">TEXT(WEEKDAY(DATE(CalendarYear,6,25),1),"aaa")</f>
        <v>Wed</v>
      </c>
      <c r="AB7" s="23" t="str">
        <f ca="1">TEXT(WEEKDAY(DATE(CalendarYear,6,26),1),"aaa")</f>
        <v>Thu</v>
      </c>
      <c r="AC7" s="23" t="str">
        <f ca="1">TEXT(WEEKDAY(DATE(CalendarYear,6,27),1),"aaa")</f>
        <v>Fri</v>
      </c>
      <c r="AD7" s="23" t="str">
        <f ca="1">TEXT(WEEKDAY(DATE(CalendarYear,6,28),1),"aaa")</f>
        <v>Sat</v>
      </c>
      <c r="AE7" s="23" t="str">
        <f ca="1">TEXT(WEEKDAY(DATE(CalendarYear,6,29),1),"aaa")</f>
        <v>Sun</v>
      </c>
      <c r="AF7" s="23" t="str">
        <f ca="1">TEXT(WEEKDAY(DATE(CalendarYear,6,30),1),"aaa")</f>
        <v>Mon</v>
      </c>
      <c r="AG7" s="23"/>
      <c r="AH7" s="7"/>
    </row>
    <row r="8" spans="2: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33</v>
      </c>
      <c r="AH8" s="24" t="s">
        <v>63</v>
      </c>
    </row>
    <row r="9" spans="2:34" ht="30" customHeight="1" x14ac:dyDescent="0.25">
      <c r="B9" s="2" t="s">
        <v>57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3">
        <f>COUNTA(June[[#This Row],[1]:[ ]])</f>
        <v>0</v>
      </c>
    </row>
    <row r="10" spans="2:34" ht="30" customHeight="1" x14ac:dyDescent="0.25">
      <c r="B10" s="2" t="s">
        <v>58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COUNTA(June[[#This Row],[1]:[ ]])</f>
        <v>0</v>
      </c>
    </row>
    <row r="11" spans="2:34" ht="30" customHeight="1" x14ac:dyDescent="0.25">
      <c r="B11" s="2" t="s">
        <v>59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3">
        <f>COUNTA(June[[#This Row],[1]:[ ]])</f>
        <v>0</v>
      </c>
    </row>
    <row r="12" spans="2:34" ht="30" customHeight="1" x14ac:dyDescent="0.25">
      <c r="B12" s="2" t="s">
        <v>60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COUNTA(June[[#This Row],[1]:[ ]])</f>
        <v>0</v>
      </c>
    </row>
    <row r="13" spans="2:34" ht="30" customHeight="1" x14ac:dyDescent="0.25">
      <c r="B13" s="2" t="s">
        <v>61</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3">
        <f>COUNTA(June[[#This Row],[1]:[ ]])</f>
        <v>0</v>
      </c>
    </row>
    <row r="14" spans="2:34" ht="30" customHeight="1" x14ac:dyDescent="0.25">
      <c r="B14" s="5" t="str">
        <f>MonthName&amp;" Total"</f>
        <v>June Total</v>
      </c>
      <c r="C14" s="4">
        <f>SUBTOTAL(103,June[1])</f>
        <v>0</v>
      </c>
      <c r="D14" s="4">
        <f>SUBTOTAL(103,June[2])</f>
        <v>0</v>
      </c>
      <c r="E14" s="4">
        <f>SUBTOTAL(103,June[3])</f>
        <v>0</v>
      </c>
      <c r="F14" s="4">
        <f>SUBTOTAL(103,June[4])</f>
        <v>0</v>
      </c>
      <c r="G14" s="4">
        <f>SUBTOTAL(103,June[5])</f>
        <v>0</v>
      </c>
      <c r="H14" s="4">
        <f>SUBTOTAL(103,June[6])</f>
        <v>0</v>
      </c>
      <c r="I14" s="4">
        <f>SUBTOTAL(103,June[7])</f>
        <v>0</v>
      </c>
      <c r="J14" s="4">
        <f>SUBTOTAL(103,June[8])</f>
        <v>0</v>
      </c>
      <c r="K14" s="4">
        <f>SUBTOTAL(103,June[9])</f>
        <v>0</v>
      </c>
      <c r="L14" s="4">
        <f>SUBTOTAL(103,June[10])</f>
        <v>0</v>
      </c>
      <c r="M14" s="4">
        <f>SUBTOTAL(103,June[11])</f>
        <v>0</v>
      </c>
      <c r="N14" s="4">
        <f>SUBTOTAL(103,June[12])</f>
        <v>0</v>
      </c>
      <c r="O14" s="4">
        <f>SUBTOTAL(103,June[13])</f>
        <v>0</v>
      </c>
      <c r="P14" s="4">
        <f>SUBTOTAL(103,June[14])</f>
        <v>0</v>
      </c>
      <c r="Q14" s="4">
        <f>SUBTOTAL(103,June[15])</f>
        <v>0</v>
      </c>
      <c r="R14" s="4">
        <f>SUBTOTAL(103,June[16])</f>
        <v>0</v>
      </c>
      <c r="S14" s="4">
        <f>SUBTOTAL(103,June[17])</f>
        <v>0</v>
      </c>
      <c r="T14" s="4">
        <f>SUBTOTAL(103,June[18])</f>
        <v>0</v>
      </c>
      <c r="U14" s="4">
        <f>SUBTOTAL(103,June[19])</f>
        <v>0</v>
      </c>
      <c r="V14" s="4">
        <f>SUBTOTAL(103,June[20])</f>
        <v>0</v>
      </c>
      <c r="W14" s="4">
        <f>SUBTOTAL(103,June[21])</f>
        <v>0</v>
      </c>
      <c r="X14" s="4">
        <f>SUBTOTAL(103,June[22])</f>
        <v>0</v>
      </c>
      <c r="Y14" s="4">
        <f>SUBTOTAL(103,June[23])</f>
        <v>0</v>
      </c>
      <c r="Z14" s="4">
        <f>SUBTOTAL(103,June[24])</f>
        <v>0</v>
      </c>
      <c r="AA14" s="4">
        <f>SUBTOTAL(103,June[25])</f>
        <v>0</v>
      </c>
      <c r="AB14" s="4">
        <f>SUBTOTAL(103,June[26])</f>
        <v>0</v>
      </c>
      <c r="AC14" s="4">
        <f>SUBTOTAL(103,June[27])</f>
        <v>0</v>
      </c>
      <c r="AD14" s="4">
        <f>SUBTOTAL(103,June[28])</f>
        <v>0</v>
      </c>
      <c r="AE14" s="4">
        <f>SUBTOTAL(103,June[29])</f>
        <v>0</v>
      </c>
      <c r="AF14" s="4">
        <f>SUBTOTAL(109,June[30])</f>
        <v>0</v>
      </c>
      <c r="AG14" s="4">
        <f>SUBTOTAL(109,June[[ ]])</f>
        <v>0</v>
      </c>
      <c r="AH14" s="4">
        <f>SUBTOTAL(109,June[Total days])</f>
        <v>0</v>
      </c>
    </row>
  </sheetData>
  <mergeCells count="6">
    <mergeCell ref="C6:AG6"/>
    <mergeCell ref="D4:F4"/>
    <mergeCell ref="H4:J4"/>
    <mergeCell ref="L4:M4"/>
    <mergeCell ref="O4:Q4"/>
    <mergeCell ref="S4:U4"/>
  </mergeCells>
  <conditionalFormatting sqref="C9:AG13">
    <cfRule type="expression" priority="1" stopIfTrue="1">
      <formula>C9=""</formula>
    </cfRule>
    <cfRule type="expression" dxfId="517" priority="2" stopIfTrue="1">
      <formula>C9=KeyCustom2</formula>
    </cfRule>
    <cfRule type="expression" dxfId="516" priority="3" stopIfTrue="1">
      <formula>C9=KeyCustom1</formula>
    </cfRule>
    <cfRule type="expression" dxfId="515" priority="4" stopIfTrue="1">
      <formula>C9=KeySick</formula>
    </cfRule>
    <cfRule type="expression" dxfId="514" priority="5" stopIfTrue="1">
      <formula>C9=KeyPersonal</formula>
    </cfRule>
    <cfRule type="expression" dxfId="513" priority="6" stopIfTrue="1">
      <formula>C9=KeyVacation</formula>
    </cfRule>
  </conditionalFormatting>
  <conditionalFormatting sqref="AH9:AH13">
    <cfRule type="dataBar" priority="7">
      <dataBar>
        <cfvo type="min"/>
        <cfvo type="formula" val="DATEDIF(DATE(CalendarYear,2,1),DATE(CalendarYear,3,1),&quot;d&quot;)"/>
        <color theme="2" tint="-0.249977111117893"/>
      </dataBar>
      <extLst>
        <ext xmlns:x14="http://schemas.microsoft.com/office/spreadsheetml/2009/9/main" uri="{B025F937-C7B1-47D3-B67F-A62EFF666E3E}">
          <x14:id>{5E94D469-7B22-408B-924D-8DC8A136AD3B}</x14:id>
        </ext>
      </extLst>
    </cfRule>
  </conditionalFormatting>
  <dataValidations count="15">
    <dataValidation allowBlank="1" showInputMessage="1" showErrorMessage="1" prompt="Weekdays in this row are automatically updated for the month according to the year in AH4. Each day of the month is a column to note an employee's absence and absence type" sqref="C7" xr:uid="{85B1AA25-701F-5E4F-A537-8492818323AC}"/>
    <dataValidation allowBlank="1" showInputMessage="1" showErrorMessage="1" prompt="Automatically updated year based on year entered in January worksheet" sqref="AH6" xr:uid="{84DE34BD-C74C-E949-BDDC-390099447919}"/>
    <dataValidation allowBlank="1" showInputMessage="1" showErrorMessage="1" prompt="Automatically calculates total number of days an employee was absent this month in this column" sqref="AH8" xr:uid="{EFC3BF89-2526-1648-9032-54E38409D629}"/>
    <dataValidation allowBlank="1" showInputMessage="1" showErrorMessage="1" prompt="Track June absence in this worksheet" sqref="A1" xr:uid="{00000000-0002-0000-0500-000003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D4ADDEE7-3BB2-0A42-AA24-1DBB30531A38}"/>
    <dataValidation allowBlank="1" showInputMessage="1" showErrorMessage="1" prompt="Automatically updated title is in this cell. To modify the title, update B1 on January worksheet" sqref="B2" xr:uid="{00000000-0002-0000-0500-000005000000}"/>
    <dataValidation allowBlank="1" showInputMessage="1" showErrorMessage="1" prompt="The letter &quot;V&quot; indicates absence due to vacation" sqref="C4" xr:uid="{063A296C-F0C1-7D40-A420-7E4F7FE9CFFC}"/>
    <dataValidation allowBlank="1" showInputMessage="1" showErrorMessage="1" prompt="The letter &quot;P&quot; indicates absence due to personal reasons" sqref="G4" xr:uid="{7B0AE11E-F6A2-AD47-8416-1B2675569D32}"/>
    <dataValidation allowBlank="1" showInputMessage="1" showErrorMessage="1" prompt="The letter &quot;S&quot; indicates absence due to illness" sqref="K4" xr:uid="{B7A7B06A-9278-F146-B6AA-7DC18A17F2CB}"/>
    <dataValidation allowBlank="1" showInputMessage="1" showErrorMessage="1" prompt="Enter a letter and customize the label at right to add another key item" sqref="N4 R4" xr:uid="{BCCD7B63-1804-5040-82B0-DF0BF821857D}"/>
    <dataValidation allowBlank="1" showInputMessage="1" showErrorMessage="1" prompt="Enter a label to describe the custom key at left" sqref="O4:Q4 S4:U4" xr:uid="{7C729E06-0D5C-3147-AB97-5D821DA85CA6}"/>
    <dataValidation allowBlank="1" showInputMessage="1" showErrorMessage="1" prompt="Month name for this absence schedule is in this cell. Absence totals for this month are in last cell of the table. Select employee names in table column B" sqref="B2" xr:uid="{00000000-0002-0000-0500-00000C000000}"/>
    <dataValidation allowBlank="1" showInputMessage="1" showErrorMessage="1" prompt="Days of the month in this row are automatically generated. Enter an employee's absence and absence type in each column for each day of the month. Blank means no absence" sqref="C8" xr:uid="{5F765F6B-473A-3349-9925-D065E8DF0F17}"/>
    <dataValidation allowBlank="1" showInputMessage="1" showErrorMessage="1" prompt="This row defines the keys used in the table: cell C4 is Vacation, G4 is Personal, &amp; K4 is Sick leave. Cells N4 &amp; R4 are customizable " sqref="B4" xr:uid="{9A98F9D7-8874-4D13-82D2-1EEC27A6D951}"/>
    <dataValidation allowBlank="1" showInputMessage="1" showErrorMessage="1" prompt="Title of the worksheet is in this cell. " sqref="B1" xr:uid="{D81EDF62-F132-4F32-A772-764FF14B69A5}"/>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E94D469-7B22-408B-924D-8DC8A136AD3B}">
            <x14:dataBar minLength="0" maxLength="100">
              <x14:cfvo type="autoMin"/>
              <x14:cfvo type="formula">
                <xm:f>DATEDIF(DATE(CalendarYear,2,1),DATE(CalendarYear,3,1),"d")</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E000000}">
          <x14:formula1>
            <xm:f>'Employee names'!$B$4:$B$8</xm:f>
          </x14:formula1>
          <xm:sqref>B9:B13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pageSetUpPr fitToPage="1"/>
  </sheetPr>
  <dimension ref="B1:AH14"/>
  <sheetViews>
    <sheetView showGridLines="0" zoomScaleNormal="100" workbookViewId="0">
      <selection activeCell="B2" sqref="B2"/>
    </sheetView>
  </sheetViews>
  <sheetFormatPr defaultColWidth="8.710937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2:34" ht="49.9" customHeight="1" x14ac:dyDescent="0.35">
      <c r="B1" s="25" t="s">
        <v>54</v>
      </c>
    </row>
    <row r="2" spans="2:34" ht="100.15" customHeight="1" x14ac:dyDescent="0.25">
      <c r="B2" s="40" t="s">
        <v>47</v>
      </c>
    </row>
    <row r="3" spans="2:34" ht="1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2: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2:34" ht="15" customHeight="1"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CalendarYear</f>
        <v>2025</v>
      </c>
    </row>
    <row r="7" spans="2:34" ht="30" customHeight="1" x14ac:dyDescent="0.25">
      <c r="B7" s="7"/>
      <c r="C7" s="23" t="str">
        <f ca="1">TEXT(WEEKDAY(DATE(CalendarYear,7,1),1),"aaa")</f>
        <v>Tue</v>
      </c>
      <c r="D7" s="23" t="str">
        <f ca="1">TEXT(WEEKDAY(DATE(CalendarYear,7,2),1),"aaa")</f>
        <v>Wed</v>
      </c>
      <c r="E7" s="23" t="str">
        <f ca="1">TEXT(WEEKDAY(DATE(CalendarYear,7,3),1),"aaa")</f>
        <v>Thu</v>
      </c>
      <c r="F7" s="23" t="str">
        <f ca="1">TEXT(WEEKDAY(DATE(CalendarYear,7,4),1),"aaa")</f>
        <v>Fri</v>
      </c>
      <c r="G7" s="23" t="str">
        <f ca="1">TEXT(WEEKDAY(DATE(CalendarYear,7,5),1),"aaa")</f>
        <v>Sat</v>
      </c>
      <c r="H7" s="23" t="str">
        <f ca="1">TEXT(WEEKDAY(DATE(CalendarYear,7,6),1),"aaa")</f>
        <v>Sun</v>
      </c>
      <c r="I7" s="23" t="str">
        <f ca="1">TEXT(WEEKDAY(DATE(CalendarYear,7,7),1),"aaa")</f>
        <v>Mon</v>
      </c>
      <c r="J7" s="23" t="str">
        <f ca="1">TEXT(WEEKDAY(DATE(CalendarYear,7,8),1),"aaa")</f>
        <v>Tue</v>
      </c>
      <c r="K7" s="23" t="str">
        <f ca="1">TEXT(WEEKDAY(DATE(CalendarYear,7,9),1),"aaa")</f>
        <v>Wed</v>
      </c>
      <c r="L7" s="23" t="str">
        <f ca="1">TEXT(WEEKDAY(DATE(CalendarYear,7,10),1),"aaa")</f>
        <v>Thu</v>
      </c>
      <c r="M7" s="23" t="str">
        <f ca="1">TEXT(WEEKDAY(DATE(CalendarYear,7,11),1),"aaa")</f>
        <v>Fri</v>
      </c>
      <c r="N7" s="23" t="str">
        <f ca="1">TEXT(WEEKDAY(DATE(CalendarYear,7,12),1),"aaa")</f>
        <v>Sat</v>
      </c>
      <c r="O7" s="23" t="str">
        <f ca="1">TEXT(WEEKDAY(DATE(CalendarYear,7,13),1),"aaa")</f>
        <v>Sun</v>
      </c>
      <c r="P7" s="23" t="str">
        <f ca="1">TEXT(WEEKDAY(DATE(CalendarYear,7,14),1),"aaa")</f>
        <v>Mon</v>
      </c>
      <c r="Q7" s="23" t="str">
        <f ca="1">TEXT(WEEKDAY(DATE(CalendarYear,7,15),1),"aaa")</f>
        <v>Tue</v>
      </c>
      <c r="R7" s="23" t="str">
        <f ca="1">TEXT(WEEKDAY(DATE(CalendarYear,7,16),1),"aaa")</f>
        <v>Wed</v>
      </c>
      <c r="S7" s="23" t="str">
        <f ca="1">TEXT(WEEKDAY(DATE(CalendarYear,7,17),1),"aaa")</f>
        <v>Thu</v>
      </c>
      <c r="T7" s="23" t="str">
        <f ca="1">TEXT(WEEKDAY(DATE(CalendarYear,7,18),1),"aaa")</f>
        <v>Fri</v>
      </c>
      <c r="U7" s="23" t="str">
        <f ca="1">TEXT(WEEKDAY(DATE(CalendarYear,7,19),1),"aaa")</f>
        <v>Sat</v>
      </c>
      <c r="V7" s="23" t="str">
        <f ca="1">TEXT(WEEKDAY(DATE(CalendarYear,7,20),1),"aaa")</f>
        <v>Sun</v>
      </c>
      <c r="W7" s="23" t="str">
        <f ca="1">TEXT(WEEKDAY(DATE(CalendarYear,7,21),1),"aaa")</f>
        <v>Mon</v>
      </c>
      <c r="X7" s="23" t="str">
        <f ca="1">TEXT(WEEKDAY(DATE(CalendarYear,7,22),1),"aaa")</f>
        <v>Tue</v>
      </c>
      <c r="Y7" s="23" t="str">
        <f ca="1">TEXT(WEEKDAY(DATE(CalendarYear,7,23),1),"aaa")</f>
        <v>Wed</v>
      </c>
      <c r="Z7" s="23" t="str">
        <f ca="1">TEXT(WEEKDAY(DATE(CalendarYear,7,24),1),"aaa")</f>
        <v>Thu</v>
      </c>
      <c r="AA7" s="23" t="str">
        <f ca="1">TEXT(WEEKDAY(DATE(CalendarYear,7,25),1),"aaa")</f>
        <v>Fri</v>
      </c>
      <c r="AB7" s="23" t="str">
        <f ca="1">TEXT(WEEKDAY(DATE(CalendarYear,7,26),1),"aaa")</f>
        <v>Sat</v>
      </c>
      <c r="AC7" s="23" t="str">
        <f ca="1">TEXT(WEEKDAY(DATE(CalendarYear,7,27),1),"aaa")</f>
        <v>Sun</v>
      </c>
      <c r="AD7" s="23" t="str">
        <f ca="1">TEXT(WEEKDAY(DATE(CalendarYear,7,28),1),"aaa")</f>
        <v>Mon</v>
      </c>
      <c r="AE7" s="23" t="str">
        <f ca="1">TEXT(WEEKDAY(DATE(CalendarYear,7,29),1),"aaa")</f>
        <v>Tue</v>
      </c>
      <c r="AF7" s="23" t="str">
        <f ca="1">TEXT(WEEKDAY(DATE(CalendarYear,7,30),1),"aaa")</f>
        <v>Wed</v>
      </c>
      <c r="AG7" s="23" t="str">
        <f ca="1">TEXT(WEEKDAY(DATE(CalendarYear,7,31),1),"aaa")</f>
        <v>Thu</v>
      </c>
      <c r="AH7" s="7"/>
    </row>
    <row r="8" spans="2: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24" t="s">
        <v>63</v>
      </c>
    </row>
    <row r="9" spans="2:34" ht="30" customHeight="1" x14ac:dyDescent="0.25">
      <c r="B9" s="2" t="s">
        <v>57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3">
        <f>COUNTA(July[[#This Row],[1]:[31]])</f>
        <v>0</v>
      </c>
    </row>
    <row r="10" spans="2:34" ht="30" customHeight="1" x14ac:dyDescent="0.25">
      <c r="B10" s="2" t="s">
        <v>58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COUNTA(July[[#This Row],[1]:[31]])</f>
        <v>0</v>
      </c>
    </row>
    <row r="11" spans="2:34" ht="30" customHeight="1" x14ac:dyDescent="0.25">
      <c r="B11" s="2" t="s">
        <v>59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3">
        <f>COUNTA(July[[#This Row],[1]:[31]])</f>
        <v>0</v>
      </c>
    </row>
    <row r="12" spans="2:34" ht="30" customHeight="1" x14ac:dyDescent="0.25">
      <c r="B12" s="2" t="s">
        <v>60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COUNTA(July[[#This Row],[1]:[31]])</f>
        <v>0</v>
      </c>
    </row>
    <row r="13" spans="2:34" ht="30" customHeight="1" x14ac:dyDescent="0.25">
      <c r="B13" s="2" t="s">
        <v>61</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3">
        <f>COUNTA(July[[#This Row],[1]:[31]])</f>
        <v>0</v>
      </c>
    </row>
    <row r="14" spans="2:34" ht="30" customHeight="1" x14ac:dyDescent="0.25">
      <c r="B14" s="5" t="str">
        <f>MonthName&amp;" Total"</f>
        <v>July Total</v>
      </c>
      <c r="C14" s="4">
        <f>SUBTOTAL(103,July[1])</f>
        <v>0</v>
      </c>
      <c r="D14" s="4">
        <f>SUBTOTAL(103,July[2])</f>
        <v>0</v>
      </c>
      <c r="E14" s="4">
        <f>SUBTOTAL(103,July[3])</f>
        <v>0</v>
      </c>
      <c r="F14" s="4">
        <f>SUBTOTAL(103,July[4])</f>
        <v>0</v>
      </c>
      <c r="G14" s="4">
        <f>SUBTOTAL(103,July[5])</f>
        <v>0</v>
      </c>
      <c r="H14" s="4">
        <f>SUBTOTAL(103,July[6])</f>
        <v>0</v>
      </c>
      <c r="I14" s="4">
        <f>SUBTOTAL(103,July[7])</f>
        <v>0</v>
      </c>
      <c r="J14" s="4">
        <f>SUBTOTAL(103,July[8])</f>
        <v>0</v>
      </c>
      <c r="K14" s="4">
        <f>SUBTOTAL(103,July[9])</f>
        <v>0</v>
      </c>
      <c r="L14" s="4">
        <f>SUBTOTAL(103,July[10])</f>
        <v>0</v>
      </c>
      <c r="M14" s="4">
        <f>SUBTOTAL(103,July[11])</f>
        <v>0</v>
      </c>
      <c r="N14" s="4">
        <f>SUBTOTAL(103,July[12])</f>
        <v>0</v>
      </c>
      <c r="O14" s="4">
        <f>SUBTOTAL(103,July[13])</f>
        <v>0</v>
      </c>
      <c r="P14" s="4">
        <f>SUBTOTAL(103,July[14])</f>
        <v>0</v>
      </c>
      <c r="Q14" s="4">
        <f>SUBTOTAL(103,July[15])</f>
        <v>0</v>
      </c>
      <c r="R14" s="4">
        <f>SUBTOTAL(103,July[16])</f>
        <v>0</v>
      </c>
      <c r="S14" s="4">
        <f>SUBTOTAL(103,July[17])</f>
        <v>0</v>
      </c>
      <c r="T14" s="4">
        <f>SUBTOTAL(103,July[18])</f>
        <v>0</v>
      </c>
      <c r="U14" s="4">
        <f>SUBTOTAL(103,July[19])</f>
        <v>0</v>
      </c>
      <c r="V14" s="4">
        <f>SUBTOTAL(103,July[20])</f>
        <v>0</v>
      </c>
      <c r="W14" s="4">
        <f>SUBTOTAL(103,July[21])</f>
        <v>0</v>
      </c>
      <c r="X14" s="4">
        <f>SUBTOTAL(103,July[22])</f>
        <v>0</v>
      </c>
      <c r="Y14" s="4">
        <f>SUBTOTAL(103,July[23])</f>
        <v>0</v>
      </c>
      <c r="Z14" s="4">
        <f>SUBTOTAL(103,July[24])</f>
        <v>0</v>
      </c>
      <c r="AA14" s="4">
        <f>SUBTOTAL(103,July[25])</f>
        <v>0</v>
      </c>
      <c r="AB14" s="4">
        <f>SUBTOTAL(103,July[26])</f>
        <v>0</v>
      </c>
      <c r="AC14" s="4">
        <f>SUBTOTAL(103,July[27])</f>
        <v>0</v>
      </c>
      <c r="AD14" s="4">
        <f>SUBTOTAL(103,July[28])</f>
        <v>0</v>
      </c>
      <c r="AE14" s="4">
        <f>SUBTOTAL(103,July[29])</f>
        <v>0</v>
      </c>
      <c r="AF14" s="4">
        <f>SUBTOTAL(109,July[30])</f>
        <v>0</v>
      </c>
      <c r="AG14" s="4">
        <f>SUBTOTAL(109,July[31])</f>
        <v>0</v>
      </c>
      <c r="AH14" s="4">
        <f>SUBTOTAL(109,July[Total days])</f>
        <v>0</v>
      </c>
    </row>
  </sheetData>
  <mergeCells count="6">
    <mergeCell ref="C6:AG6"/>
    <mergeCell ref="D4:F4"/>
    <mergeCell ref="H4:J4"/>
    <mergeCell ref="L4:M4"/>
    <mergeCell ref="O4:Q4"/>
    <mergeCell ref="S4:U4"/>
  </mergeCells>
  <conditionalFormatting sqref="C9:AG13">
    <cfRule type="expression" priority="1" stopIfTrue="1">
      <formula>C9=""</formula>
    </cfRule>
    <cfRule type="expression" dxfId="443" priority="2" stopIfTrue="1">
      <formula>C9=KeyCustom2</formula>
    </cfRule>
    <cfRule type="expression" dxfId="442" priority="3" stopIfTrue="1">
      <formula>C9=KeyCustom1</formula>
    </cfRule>
    <cfRule type="expression" dxfId="441" priority="4" stopIfTrue="1">
      <formula>C9=KeySick</formula>
    </cfRule>
    <cfRule type="expression" dxfId="440" priority="5" stopIfTrue="1">
      <formula>C9=KeyPersonal</formula>
    </cfRule>
    <cfRule type="expression" dxfId="439" priority="6" stopIfTrue="1">
      <formula>C9=KeyVacation</formula>
    </cfRule>
  </conditionalFormatting>
  <conditionalFormatting sqref="AH9:AH13">
    <cfRule type="dataBar" priority="7">
      <dataBar>
        <cfvo type="min"/>
        <cfvo type="formula" val="DATEDIF(DATE(CalendarYear,2,1),DATE(CalendarYear,3,1),&quot;d&quot;)"/>
        <color theme="2" tint="-0.249977111117893"/>
      </dataBar>
      <extLst>
        <ext xmlns:x14="http://schemas.microsoft.com/office/spreadsheetml/2009/9/main" uri="{B025F937-C7B1-47D3-B67F-A62EFF666E3E}">
          <x14:id>{E0DCF129-9B2A-4CEB-9E56-27607F4BED20}</x14:id>
        </ext>
      </extLst>
    </cfRule>
  </conditionalFormatting>
  <dataValidations count="15">
    <dataValidation allowBlank="1" showInputMessage="1" showErrorMessage="1" prompt="Days of the month in this row are automatically generated. Enter an employee's absence and absence type in each column for each day of the month. Blank means no absence" sqref="C8" xr:uid="{03C1A45F-45B9-C64C-AB94-81563D673730}"/>
    <dataValidation allowBlank="1" showInputMessage="1" showErrorMessage="1" prompt="Month name for this absence schedule is in this cell. Absence totals for this month are in last cell of the table. Select employee names in table column B" sqref="B2" xr:uid="{00000000-0002-0000-0600-000001000000}"/>
    <dataValidation allowBlank="1" showInputMessage="1" showErrorMessage="1" prompt="Enter a label to describe the custom key at left" sqref="O4:Q4 S4:U4" xr:uid="{0D4DD0DA-09CF-9E44-99CA-A5867B7A5DE0}"/>
    <dataValidation allowBlank="1" showInputMessage="1" showErrorMessage="1" prompt="Enter a letter and customize the label at right to add another key item" sqref="N4 R4" xr:uid="{7958A2AB-CEB1-064A-ADC4-DFE205FED828}"/>
    <dataValidation allowBlank="1" showInputMessage="1" showErrorMessage="1" prompt="The letter &quot;S&quot; indicates absence due to illness" sqref="K4" xr:uid="{58CC404D-17ED-6445-ACB8-A79585398428}"/>
    <dataValidation allowBlank="1" showInputMessage="1" showErrorMessage="1" prompt="The letter &quot;P&quot; indicates absence due to personal reasons" sqref="G4" xr:uid="{BB2F932F-117E-4C44-89E0-7036B9C55FB7}"/>
    <dataValidation allowBlank="1" showInputMessage="1" showErrorMessage="1" prompt="The letter &quot;V&quot; indicates absence due to vacation" sqref="C4" xr:uid="{02BD24EB-B095-F64C-94A8-7E7708BAF1AD}"/>
    <dataValidation allowBlank="1" showInputMessage="1" showErrorMessage="1" prompt="Automatically updated title is in this cell. To modify the title, update B1 on January worksheet" sqref="B2" xr:uid="{00000000-0002-0000-0600-000008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56BA2E4C-7843-2040-9E97-682F447A602F}"/>
    <dataValidation allowBlank="1" showInputMessage="1" showErrorMessage="1" prompt="Track July absence in this worksheet" sqref="A1" xr:uid="{00000000-0002-0000-0600-00000A000000}"/>
    <dataValidation allowBlank="1" showInputMessage="1" showErrorMessage="1" prompt="Automatically calculates total number of days an employee was absent this month in this column" sqref="AH8" xr:uid="{7EEB97FE-C4E8-0B42-8F26-4ACE0C358EA5}"/>
    <dataValidation allowBlank="1" showInputMessage="1" showErrorMessage="1" prompt="Automatically updated year based on year entered in January worksheet" sqref="AH6" xr:uid="{00000000-0002-0000-0600-00000C000000}"/>
    <dataValidation allowBlank="1" showInputMessage="1" showErrorMessage="1" prompt="Weekdays in this row are automatically updated for the month according to the year in AH4. Each day of the month is a column to note an employee's absence and absence type" sqref="C7" xr:uid="{956AA00F-FA3E-EE4C-BC75-65E8AA2EA95F}"/>
    <dataValidation allowBlank="1" showInputMessage="1" showErrorMessage="1" prompt="This row defines the keys used in the table: cell C4 is Vacation, G4 is Personal, &amp; K4 is Sick leave. Cells N4 &amp; R4 are customizable " sqref="B4" xr:uid="{49FE03CF-624B-4523-A1B1-B51C2CB6F6D6}"/>
    <dataValidation allowBlank="1" showInputMessage="1" showErrorMessage="1" prompt="Title of the worksheet is in this cell. " sqref="B1" xr:uid="{0AC8E3EA-A233-463E-AEDF-A0DB4FC9697F}"/>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0DCF129-9B2A-4CEB-9E56-27607F4BED20}">
            <x14:dataBar minLength="0" maxLength="100">
              <x14:cfvo type="autoMin"/>
              <x14:cfvo type="formula">
                <xm:f>DATEDIF(DATE(CalendarYear,2,1),DATE(CalendarYear,3,1),"d")</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E000000}">
          <x14:formula1>
            <xm:f>'Employee names'!$B$4:$B$8</xm:f>
          </x14:formula1>
          <xm:sqref>B9:B13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pageSetUpPr fitToPage="1"/>
  </sheetPr>
  <dimension ref="B1:AH14"/>
  <sheetViews>
    <sheetView showGridLines="0" zoomScaleNormal="100" workbookViewId="0">
      <selection activeCell="B2" sqref="B2"/>
    </sheetView>
  </sheetViews>
  <sheetFormatPr defaultColWidth="8.7109375" defaultRowHeight="30" customHeight="1" x14ac:dyDescent="0.25"/>
  <cols>
    <col min="1" max="1" width="2.7109375" customWidth="1"/>
    <col min="2" max="2" width="25.7109375" customWidth="1"/>
    <col min="3" max="33" width="4.7109375" customWidth="1"/>
    <col min="34" max="34" width="13.42578125" customWidth="1"/>
    <col min="35" max="35" width="2.7109375" customWidth="1"/>
  </cols>
  <sheetData>
    <row r="1" spans="2:34" ht="49.9" customHeight="1" x14ac:dyDescent="0.35">
      <c r="B1" s="25" t="s">
        <v>54</v>
      </c>
    </row>
    <row r="2" spans="2:34" ht="100.15" customHeight="1" x14ac:dyDescent="0.25">
      <c r="B2" s="39" t="s">
        <v>48</v>
      </c>
    </row>
    <row r="3" spans="2:34" ht="1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2:34" ht="30" customHeight="1" x14ac:dyDescent="0.25">
      <c r="B4" s="8" t="s">
        <v>55</v>
      </c>
      <c r="C4" s="28" t="s">
        <v>32</v>
      </c>
      <c r="D4" s="55" t="s">
        <v>37</v>
      </c>
      <c r="E4" s="55"/>
      <c r="F4" s="55"/>
      <c r="G4" s="26" t="s">
        <v>35</v>
      </c>
      <c r="H4" s="55" t="s">
        <v>38</v>
      </c>
      <c r="I4" s="55"/>
      <c r="J4" s="55"/>
      <c r="K4" s="27" t="s">
        <v>31</v>
      </c>
      <c r="L4" s="55" t="s">
        <v>39</v>
      </c>
      <c r="M4" s="55"/>
      <c r="N4" s="19"/>
      <c r="O4" s="55" t="s">
        <v>40</v>
      </c>
      <c r="P4" s="55"/>
      <c r="Q4" s="55"/>
      <c r="R4" s="20"/>
      <c r="S4" s="55" t="s">
        <v>41</v>
      </c>
      <c r="T4" s="55"/>
      <c r="U4" s="55"/>
    </row>
    <row r="5" spans="2:34" ht="15" customHeight="1" x14ac:dyDescent="0.25">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49.9" customHeight="1" x14ac:dyDescent="0.25">
      <c r="B6" s="7"/>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7">
        <f ca="1">CalendarYear</f>
        <v>2025</v>
      </c>
    </row>
    <row r="7" spans="2:34" ht="30" customHeight="1" x14ac:dyDescent="0.25">
      <c r="B7" s="7"/>
      <c r="C7" s="23" t="str">
        <f ca="1">TEXT(WEEKDAY(DATE(CalendarYear,8,1),1),"aaa")</f>
        <v>Fri</v>
      </c>
      <c r="D7" s="23" t="str">
        <f ca="1">TEXT(WEEKDAY(DATE(CalendarYear,8,2),1),"aaa")</f>
        <v>Sat</v>
      </c>
      <c r="E7" s="23" t="str">
        <f ca="1">TEXT(WEEKDAY(DATE(CalendarYear,8,3),1),"aaa")</f>
        <v>Sun</v>
      </c>
      <c r="F7" s="23" t="str">
        <f ca="1">TEXT(WEEKDAY(DATE(CalendarYear,8,4),1),"aaa")</f>
        <v>Mon</v>
      </c>
      <c r="G7" s="23" t="str">
        <f ca="1">TEXT(WEEKDAY(DATE(CalendarYear,8,5),1),"aaa")</f>
        <v>Tue</v>
      </c>
      <c r="H7" s="23" t="str">
        <f ca="1">TEXT(WEEKDAY(DATE(CalendarYear,8,6),1),"aaa")</f>
        <v>Wed</v>
      </c>
      <c r="I7" s="23" t="str">
        <f ca="1">TEXT(WEEKDAY(DATE(CalendarYear,8,7),1),"aaa")</f>
        <v>Thu</v>
      </c>
      <c r="J7" s="23" t="str">
        <f ca="1">TEXT(WEEKDAY(DATE(CalendarYear,8,8),1),"aaa")</f>
        <v>Fri</v>
      </c>
      <c r="K7" s="23" t="str">
        <f ca="1">TEXT(WEEKDAY(DATE(CalendarYear,8,9),1),"aaa")</f>
        <v>Sat</v>
      </c>
      <c r="L7" s="23" t="str">
        <f ca="1">TEXT(WEEKDAY(DATE(CalendarYear,8,10),1),"aaa")</f>
        <v>Sun</v>
      </c>
      <c r="M7" s="23" t="str">
        <f ca="1">TEXT(WEEKDAY(DATE(CalendarYear,8,11),1),"aaa")</f>
        <v>Mon</v>
      </c>
      <c r="N7" s="23" t="str">
        <f ca="1">TEXT(WEEKDAY(DATE(CalendarYear,8,12),1),"aaa")</f>
        <v>Tue</v>
      </c>
      <c r="O7" s="23" t="str">
        <f ca="1">TEXT(WEEKDAY(DATE(CalendarYear,8,13),1),"aaa")</f>
        <v>Wed</v>
      </c>
      <c r="P7" s="23" t="str">
        <f ca="1">TEXT(WEEKDAY(DATE(CalendarYear,8,14),1),"aaa")</f>
        <v>Thu</v>
      </c>
      <c r="Q7" s="23" t="str">
        <f ca="1">TEXT(WEEKDAY(DATE(CalendarYear,8,15),1),"aaa")</f>
        <v>Fri</v>
      </c>
      <c r="R7" s="23" t="str">
        <f ca="1">TEXT(WEEKDAY(DATE(CalendarYear,8,16),1),"aaa")</f>
        <v>Sat</v>
      </c>
      <c r="S7" s="23" t="str">
        <f ca="1">TEXT(WEEKDAY(DATE(CalendarYear,8,17),1),"aaa")</f>
        <v>Sun</v>
      </c>
      <c r="T7" s="23" t="str">
        <f ca="1">TEXT(WEEKDAY(DATE(CalendarYear,8,18),1),"aaa")</f>
        <v>Mon</v>
      </c>
      <c r="U7" s="23" t="str">
        <f ca="1">TEXT(WEEKDAY(DATE(CalendarYear,8,19),1),"aaa")</f>
        <v>Tue</v>
      </c>
      <c r="V7" s="23" t="str">
        <f ca="1">TEXT(WEEKDAY(DATE(CalendarYear,8,20),1),"aaa")</f>
        <v>Wed</v>
      </c>
      <c r="W7" s="23" t="str">
        <f ca="1">TEXT(WEEKDAY(DATE(CalendarYear,8,21),1),"aaa")</f>
        <v>Thu</v>
      </c>
      <c r="X7" s="23" t="str">
        <f ca="1">TEXT(WEEKDAY(DATE(CalendarYear,8,22),1),"aaa")</f>
        <v>Fri</v>
      </c>
      <c r="Y7" s="23" t="str">
        <f ca="1">TEXT(WEEKDAY(DATE(CalendarYear,8,23),1),"aaa")</f>
        <v>Sat</v>
      </c>
      <c r="Z7" s="23" t="str">
        <f ca="1">TEXT(WEEKDAY(DATE(CalendarYear,8,24),1),"aaa")</f>
        <v>Sun</v>
      </c>
      <c r="AA7" s="23" t="str">
        <f ca="1">TEXT(WEEKDAY(DATE(CalendarYear,8,25),1),"aaa")</f>
        <v>Mon</v>
      </c>
      <c r="AB7" s="23" t="str">
        <f ca="1">TEXT(WEEKDAY(DATE(CalendarYear,8,26),1),"aaa")</f>
        <v>Tue</v>
      </c>
      <c r="AC7" s="23" t="str">
        <f ca="1">TEXT(WEEKDAY(DATE(CalendarYear,8,27),1),"aaa")</f>
        <v>Wed</v>
      </c>
      <c r="AD7" s="23" t="str">
        <f ca="1">TEXT(WEEKDAY(DATE(CalendarYear,8,28),1),"aaa")</f>
        <v>Thu</v>
      </c>
      <c r="AE7" s="23" t="str">
        <f ca="1">TEXT(WEEKDAY(DATE(CalendarYear,8,29),1),"aaa")</f>
        <v>Fri</v>
      </c>
      <c r="AF7" s="23" t="str">
        <f ca="1">TEXT(WEEKDAY(DATE(CalendarYear,8,30),1),"aaa")</f>
        <v>Sat</v>
      </c>
      <c r="AG7" s="23" t="str">
        <f ca="1">TEXT(WEEKDAY(DATE(CalendarYear,8,31),1),"aaa")</f>
        <v>Sun</v>
      </c>
      <c r="AH7" s="7"/>
    </row>
    <row r="8" spans="2:34" ht="30" customHeight="1" x14ac:dyDescent="0.25">
      <c r="B8" s="22" t="s">
        <v>62</v>
      </c>
      <c r="C8" s="1" t="s">
        <v>0</v>
      </c>
      <c r="D8" s="1" t="s">
        <v>1</v>
      </c>
      <c r="E8" s="1" t="s">
        <v>2</v>
      </c>
      <c r="F8" s="1" t="s">
        <v>3</v>
      </c>
      <c r="G8" s="1" t="s">
        <v>4</v>
      </c>
      <c r="H8" s="1" t="s">
        <v>5</v>
      </c>
      <c r="I8" s="1" t="s">
        <v>6</v>
      </c>
      <c r="J8" s="1" t="s">
        <v>7</v>
      </c>
      <c r="K8" s="1" t="s">
        <v>8</v>
      </c>
      <c r="L8" s="1" t="s">
        <v>9</v>
      </c>
      <c r="M8" s="1" t="s">
        <v>10</v>
      </c>
      <c r="N8" s="1" t="s">
        <v>11</v>
      </c>
      <c r="O8" s="1" t="s">
        <v>12</v>
      </c>
      <c r="P8" s="1" t="s">
        <v>13</v>
      </c>
      <c r="Q8" s="1" t="s">
        <v>14</v>
      </c>
      <c r="R8" s="1" t="s">
        <v>15</v>
      </c>
      <c r="S8" s="1" t="s">
        <v>16</v>
      </c>
      <c r="T8" s="1" t="s">
        <v>17</v>
      </c>
      <c r="U8" s="1" t="s">
        <v>18</v>
      </c>
      <c r="V8" s="1" t="s">
        <v>19</v>
      </c>
      <c r="W8" s="1" t="s">
        <v>20</v>
      </c>
      <c r="X8" s="1" t="s">
        <v>21</v>
      </c>
      <c r="Y8" s="1" t="s">
        <v>22</v>
      </c>
      <c r="Z8" s="1" t="s">
        <v>23</v>
      </c>
      <c r="AA8" s="1" t="s">
        <v>24</v>
      </c>
      <c r="AB8" s="1" t="s">
        <v>25</v>
      </c>
      <c r="AC8" s="1" t="s">
        <v>26</v>
      </c>
      <c r="AD8" s="1" t="s">
        <v>27</v>
      </c>
      <c r="AE8" s="1" t="s">
        <v>28</v>
      </c>
      <c r="AF8" s="1" t="s">
        <v>29</v>
      </c>
      <c r="AG8" s="1" t="s">
        <v>30</v>
      </c>
      <c r="AH8" s="24" t="s">
        <v>63</v>
      </c>
    </row>
    <row r="9" spans="2:34" ht="30" customHeight="1" x14ac:dyDescent="0.25">
      <c r="B9" s="2" t="s">
        <v>57</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3">
        <f>COUNTA(August[[#This Row],[1]:[31]])</f>
        <v>0</v>
      </c>
    </row>
    <row r="10" spans="2:34" ht="30" customHeight="1" x14ac:dyDescent="0.25">
      <c r="B10" s="2" t="s">
        <v>58</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3">
        <f>COUNTA(August[[#This Row],[1]:[31]])</f>
        <v>0</v>
      </c>
    </row>
    <row r="11" spans="2:34" ht="30" customHeight="1" x14ac:dyDescent="0.25">
      <c r="B11" s="2" t="s">
        <v>59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3">
        <f>COUNTA(August[[#This Row],[1]:[31]])</f>
        <v>0</v>
      </c>
    </row>
    <row r="12" spans="2:34" ht="30" customHeight="1" x14ac:dyDescent="0.25">
      <c r="B12" s="2" t="s">
        <v>60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3">
        <f>COUNTA(August[[#This Row],[1]:[31]])</f>
        <v>0</v>
      </c>
    </row>
    <row r="13" spans="2:34" ht="30" customHeight="1" x14ac:dyDescent="0.25">
      <c r="B13" s="2" t="s">
        <v>61</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3">
        <f>COUNTA(August[[#This Row],[1]:[31]])</f>
        <v>0</v>
      </c>
    </row>
    <row r="14" spans="2:34" ht="30" customHeight="1" x14ac:dyDescent="0.25">
      <c r="B14" s="5" t="str">
        <f>MonthName&amp;" Total"</f>
        <v>August Total</v>
      </c>
      <c r="C14" s="4">
        <f>SUBTOTAL(103,August[1])</f>
        <v>0</v>
      </c>
      <c r="D14" s="4">
        <f>SUBTOTAL(103,August[2])</f>
        <v>0</v>
      </c>
      <c r="E14" s="4">
        <f>SUBTOTAL(103,August[3])</f>
        <v>0</v>
      </c>
      <c r="F14" s="4">
        <f>SUBTOTAL(103,August[4])</f>
        <v>0</v>
      </c>
      <c r="G14" s="4">
        <f>SUBTOTAL(103,August[5])</f>
        <v>0</v>
      </c>
      <c r="H14" s="4">
        <f>SUBTOTAL(103,August[6])</f>
        <v>0</v>
      </c>
      <c r="I14" s="4">
        <f>SUBTOTAL(103,August[7])</f>
        <v>0</v>
      </c>
      <c r="J14" s="4">
        <f>SUBTOTAL(103,August[8])</f>
        <v>0</v>
      </c>
      <c r="K14" s="4">
        <f>SUBTOTAL(103,August[9])</f>
        <v>0</v>
      </c>
      <c r="L14" s="4">
        <f>SUBTOTAL(103,August[10])</f>
        <v>0</v>
      </c>
      <c r="M14" s="4">
        <f>SUBTOTAL(103,August[11])</f>
        <v>0</v>
      </c>
      <c r="N14" s="4">
        <f>SUBTOTAL(103,August[12])</f>
        <v>0</v>
      </c>
      <c r="O14" s="4">
        <f>SUBTOTAL(103,August[13])</f>
        <v>0</v>
      </c>
      <c r="P14" s="4">
        <f>SUBTOTAL(103,August[14])</f>
        <v>0</v>
      </c>
      <c r="Q14" s="4">
        <f>SUBTOTAL(103,August[15])</f>
        <v>0</v>
      </c>
      <c r="R14" s="4">
        <f>SUBTOTAL(103,August[16])</f>
        <v>0</v>
      </c>
      <c r="S14" s="4">
        <f>SUBTOTAL(103,August[17])</f>
        <v>0</v>
      </c>
      <c r="T14" s="4">
        <f>SUBTOTAL(103,August[18])</f>
        <v>0</v>
      </c>
      <c r="U14" s="4">
        <f>SUBTOTAL(103,August[19])</f>
        <v>0</v>
      </c>
      <c r="V14" s="4">
        <f>SUBTOTAL(103,August[20])</f>
        <v>0</v>
      </c>
      <c r="W14" s="4">
        <f>SUBTOTAL(103,August[21])</f>
        <v>0</v>
      </c>
      <c r="X14" s="4">
        <f>SUBTOTAL(103,August[22])</f>
        <v>0</v>
      </c>
      <c r="Y14" s="4">
        <f>SUBTOTAL(103,August[23])</f>
        <v>0</v>
      </c>
      <c r="Z14" s="4">
        <f>SUBTOTAL(103,August[24])</f>
        <v>0</v>
      </c>
      <c r="AA14" s="4">
        <f>SUBTOTAL(103,August[25])</f>
        <v>0</v>
      </c>
      <c r="AB14" s="4">
        <f>SUBTOTAL(103,August[26])</f>
        <v>0</v>
      </c>
      <c r="AC14" s="4">
        <f>SUBTOTAL(103,August[27])</f>
        <v>0</v>
      </c>
      <c r="AD14" s="4">
        <f>SUBTOTAL(103,August[28])</f>
        <v>0</v>
      </c>
      <c r="AE14" s="4">
        <f>SUBTOTAL(103,August[29])</f>
        <v>0</v>
      </c>
      <c r="AF14" s="4">
        <f>SUBTOTAL(109,August[30])</f>
        <v>0</v>
      </c>
      <c r="AG14" s="4">
        <f>SUBTOTAL(109,August[31])</f>
        <v>0</v>
      </c>
      <c r="AH14" s="4">
        <f>SUBTOTAL(109,August[Total days])</f>
        <v>0</v>
      </c>
    </row>
  </sheetData>
  <mergeCells count="6">
    <mergeCell ref="C6:AG6"/>
    <mergeCell ref="D4:F4"/>
    <mergeCell ref="H4:J4"/>
    <mergeCell ref="L4:M4"/>
    <mergeCell ref="O4:Q4"/>
    <mergeCell ref="S4:U4"/>
  </mergeCells>
  <conditionalFormatting sqref="C9:AG13">
    <cfRule type="expression" priority="1" stopIfTrue="1">
      <formula>C9=""</formula>
    </cfRule>
    <cfRule type="expression" dxfId="369" priority="2" stopIfTrue="1">
      <formula>C9=KeyCustom2</formula>
    </cfRule>
    <cfRule type="expression" dxfId="368" priority="3" stopIfTrue="1">
      <formula>C9=KeyCustom1</formula>
    </cfRule>
    <cfRule type="expression" dxfId="367" priority="4" stopIfTrue="1">
      <formula>C9=KeySick</formula>
    </cfRule>
    <cfRule type="expression" dxfId="366" priority="5" stopIfTrue="1">
      <formula>C9=KeyPersonal</formula>
    </cfRule>
    <cfRule type="expression" dxfId="365" priority="6" stopIfTrue="1">
      <formula>C9=KeyVacation</formula>
    </cfRule>
  </conditionalFormatting>
  <conditionalFormatting sqref="AH9:AH13">
    <cfRule type="dataBar" priority="7">
      <dataBar>
        <cfvo type="min"/>
        <cfvo type="formula" val="DATEDIF(DATE(CalendarYear,2,1),DATE(CalendarYear,3,1),&quot;d&quot;)"/>
        <color theme="2" tint="-0.249977111117893"/>
      </dataBar>
      <extLst>
        <ext xmlns:x14="http://schemas.microsoft.com/office/spreadsheetml/2009/9/main" uri="{B025F937-C7B1-47D3-B67F-A62EFF666E3E}">
          <x14:id>{09900229-9536-43AB-AAE0-FC121BDECD61}</x14:id>
        </ext>
      </extLst>
    </cfRule>
  </conditionalFormatting>
  <dataValidations count="15">
    <dataValidation allowBlank="1" showInputMessage="1" showErrorMessage="1" prompt="Weekdays in this row are automatically updated for the month according to the year in AH4. Each day of the month is a column to note an employee's absence and absence type" sqref="C7" xr:uid="{C31066D8-39EA-EB48-A883-D56040D3EA81}"/>
    <dataValidation allowBlank="1" showInputMessage="1" showErrorMessage="1" prompt="Automatically updated year based on year entered in January worksheet" sqref="AH6" xr:uid="{4F3A1A67-5AD0-224A-B9EB-2AA94773859B}"/>
    <dataValidation allowBlank="1" showInputMessage="1" showErrorMessage="1" prompt="Automatically calculates total number of days an employee was absent this month in this column" sqref="AH8" xr:uid="{AC80500B-13F9-964F-8855-BCABB1C8AF13}"/>
    <dataValidation allowBlank="1" showInputMessage="1" showErrorMessage="1" prompt="Track August absence in this worksheet" sqref="A1" xr:uid="{00000000-0002-0000-0700-000003000000}"/>
    <dataValidation errorStyle="warning" allowBlank="1" showInputMessage="1" showErrorMessage="1" error="Select a name from the list. Select CANCEL, then press ALT+DOWN ARROW then ENTER to select a name" prompt="Enter employee names in the Employee Names worksheet then select one of those names from the list in this column. Press ALT+DOWN ARROW, then ENTER to select a name" sqref="B8" xr:uid="{3B37E336-5BFF-874C-B045-F359DA78F99B}"/>
    <dataValidation allowBlank="1" showInputMessage="1" showErrorMessage="1" prompt="Automatically updated title is in this cell. To modify the title, update B1 on January worksheet" sqref="B2" xr:uid="{00000000-0002-0000-0700-000005000000}"/>
    <dataValidation allowBlank="1" showInputMessage="1" showErrorMessage="1" prompt="The letter &quot;V&quot; indicates absence due to vacation" sqref="C4" xr:uid="{F48C7677-CB94-014F-B8C8-88FB8A294CFF}"/>
    <dataValidation allowBlank="1" showInputMessage="1" showErrorMessage="1" prompt="The letter &quot;P&quot; indicates absence due to personal reasons" sqref="G4" xr:uid="{63B459E7-42D5-4B48-B692-D0F49341AB9B}"/>
    <dataValidation allowBlank="1" showInputMessage="1" showErrorMessage="1" prompt="The letter &quot;S&quot; indicates absence due to illness" sqref="K4" xr:uid="{037577DF-4C4B-BA4C-A23D-EB4A1705B78B}"/>
    <dataValidation allowBlank="1" showInputMessage="1" showErrorMessage="1" prompt="Enter a letter and customize the label at right to add another key item" sqref="N4 R4" xr:uid="{ADD73E45-E7E5-5E43-8099-AF7C06C25726}"/>
    <dataValidation allowBlank="1" showInputMessage="1" showErrorMessage="1" prompt="Enter a label to describe the custom key at left" sqref="O4:Q4 S4:U4" xr:uid="{FB014BD1-5D10-9342-967F-5A90B982AACD}"/>
    <dataValidation allowBlank="1" showInputMessage="1" showErrorMessage="1" prompt="Month name for this absence schedule is in this cell. Absence totals for this month are in last cell of the table. Select employee names in table column B" sqref="B2" xr:uid="{00000000-0002-0000-0700-00000C000000}"/>
    <dataValidation allowBlank="1" showInputMessage="1" showErrorMessage="1" prompt="Days of the month in this row are automatically generated. Enter an employee's absence and absence type in each column for each day of the month. Blank means no absence" sqref="C8" xr:uid="{ACF8EA0E-6010-5D46-9524-6055BFC9D4A3}"/>
    <dataValidation allowBlank="1" showInputMessage="1" showErrorMessage="1" prompt="This row defines the keys used in the table: cell C4 is Vacation, G4 is Personal, &amp; K4 is Sick leave. Cells N4 &amp; R4 are customizable " sqref="B4" xr:uid="{2AD8EE52-D84F-4685-9E2E-4F8D1A731125}"/>
    <dataValidation allowBlank="1" showInputMessage="1" showErrorMessage="1" prompt="Title of the worksheet is in this cell. " sqref="B1" xr:uid="{3F261A71-5753-4B06-A7AE-03F6BBA4818C}"/>
  </dataValidations>
  <printOptions horizontalCentered="1"/>
  <pageMargins left="0.25" right="0.25" top="0.75" bottom="0.75" header="0.3" footer="0.3"/>
  <pageSetup scale="69" fitToHeight="0" orientation="landscape" verticalDpi="4294967293"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9900229-9536-43AB-AAE0-FC121BDECD61}">
            <x14:dataBar minLength="0" maxLength="100">
              <x14:cfvo type="autoMin"/>
              <x14:cfvo type="formula">
                <xm:f>DATEDIF(DATE(CalendarYear,2,1),DATE(CalendarYear,3,1),"d")</xm:f>
              </x14:cfvo>
              <x14:negativeFillColor rgb="FFFF0000"/>
              <x14:axisColor rgb="FF000000"/>
            </x14:dataBar>
          </x14:cfRule>
          <xm:sqref>AH9:AH13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E000000}">
          <x14:formula1>
            <xm:f>'Employee names'!$B$4:$B$8</xm:f>
          </x14:formula1>
          <xm:sqref>B9:B13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E6EC00-C2D4-4219-8EFE-E4A250F3C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C9C07F-CF0F-4409-BAA3-C354F11EB27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51F058CA-AF0F-4794-AA37-06C85ADD9B08}">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TM03987167</Template>
  <Application>Microsoft Excel</Application>
  <DocSecurity>0</DocSecurity>
  <ScaleCrop>false</ScaleCrop>
  <HeadingPairs>
    <vt:vector size="4" baseType="variant">
      <vt:variant>
        <vt:lpstr>Worksheets</vt:lpstr>
      </vt:variant>
      <vt:variant>
        <vt:i4>14</vt:i4>
      </vt:variant>
      <vt:variant>
        <vt:lpstr>Named Ranges</vt:lpstr>
      </vt:variant>
      <vt:variant>
        <vt:i4>48</vt:i4>
      </vt:variant>
    </vt:vector>
  </HeadingPairs>
  <TitlesOfParts>
    <vt:vector size="62" baseType="lpstr">
      <vt:lpstr>Cover</vt:lpstr>
      <vt:lpstr>January</vt:lpstr>
      <vt:lpstr>February</vt:lpstr>
      <vt:lpstr>March</vt:lpstr>
      <vt:lpstr>April</vt:lpstr>
      <vt:lpstr>May</vt:lpstr>
      <vt:lpstr>June</vt:lpstr>
      <vt:lpstr>July</vt:lpstr>
      <vt:lpstr>August</vt:lpstr>
      <vt:lpstr>September</vt:lpstr>
      <vt:lpstr>October</vt:lpstr>
      <vt:lpstr>November</vt:lpstr>
      <vt:lpstr>December</vt:lpstr>
      <vt:lpstr>Employee names</vt:lpstr>
      <vt:lpstr>CalendarYear</vt:lpstr>
      <vt:lpstr>ColumnTitle13</vt:lpstr>
      <vt:lpstr>Employee_Absence_Title</vt:lpstr>
      <vt:lpstr>Key_name</vt:lpstr>
      <vt:lpstr>KeyCustom1</vt:lpstr>
      <vt:lpstr>KeyCustom1Label</vt:lpstr>
      <vt:lpstr>KeyCustom2</vt:lpstr>
      <vt:lpstr>KeyCustom2Label</vt:lpstr>
      <vt:lpstr>KeyPersonal</vt:lpstr>
      <vt:lpstr>KeyPersonalLabel</vt:lpstr>
      <vt:lpstr>KeySick</vt:lpstr>
      <vt:lpstr>KeySickLabel</vt:lpstr>
      <vt:lpstr>KeyVacation</vt:lpstr>
      <vt:lpstr>KeyVacationLabel</vt:lpstr>
      <vt:lpstr>April!MonthName</vt:lpstr>
      <vt:lpstr>August!MonthName</vt:lpstr>
      <vt:lpstr>December!MonthName</vt:lpstr>
      <vt:lpstr>February!MonthName</vt:lpstr>
      <vt:lpstr>January!MonthName</vt:lpstr>
      <vt:lpstr>July!MonthName</vt:lpstr>
      <vt:lpstr>June!MonthName</vt:lpstr>
      <vt:lpstr>March!MonthName</vt:lpstr>
      <vt:lpstr>May!MonthName</vt:lpstr>
      <vt:lpstr>November!MonthName</vt:lpstr>
      <vt:lpstr>October!MonthName</vt:lpstr>
      <vt:lpstr>September!MonthName</vt:lpstr>
      <vt:lpstr>April!Print_Titles</vt:lpstr>
      <vt:lpstr>August!Print_Titles</vt:lpstr>
      <vt:lpstr>December!Print_Titles</vt:lpstr>
      <vt:lpstr>February!Print_Titles</vt:lpstr>
      <vt:lpstr>January!Print_Titles</vt:lpstr>
      <vt:lpstr>July!Print_Titles</vt:lpstr>
      <vt:lpstr>June!Print_Titles</vt:lpstr>
      <vt:lpstr>March!Print_Titles</vt:lpstr>
      <vt:lpstr>May!Print_Titles</vt:lpstr>
      <vt:lpstr>November!Print_Titles</vt:lpstr>
      <vt:lpstr>October!Print_Titles</vt:lpstr>
      <vt:lpstr>September!Print_Titles</vt:lpstr>
      <vt:lpstr>Title1</vt:lpstr>
      <vt:lpstr>Title10</vt:lpstr>
      <vt:lpstr>Title11</vt:lpstr>
      <vt:lpstr>Title12</vt:lpstr>
      <vt:lpstr>Title2</vt:lpstr>
      <vt:lpstr>Title3</vt:lpstr>
      <vt:lpstr>Title6</vt:lpstr>
      <vt:lpstr>Title7</vt:lpstr>
      <vt:lpstr>Title8</vt:lpstr>
      <vt:lpstr>Title9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2023-01-31T06:59:27Z</dcterms:created>
  <dcterms:modified xsi:type="dcterms:W3CDTF">2025-08-12T15:17:13Z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